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Finanzsekretär\DFG\A_Haushalt\Allgemeines\"/>
    </mc:Choice>
  </mc:AlternateContent>
  <bookViews>
    <workbookView xWindow="0" yWindow="0" windowWidth="28800" windowHeight="12915"/>
  </bookViews>
  <sheets>
    <sheet name="Schlüsselgrössen" sheetId="6" r:id="rId1"/>
    <sheet name="Aufwandgruppen" sheetId="9" r:id="rId2"/>
    <sheet name="Ertragsgruppen" sheetId="11" r:id="rId3"/>
    <sheet name="SF Strassen" sheetId="8" r:id="rId4"/>
    <sheet name="HRM2-Kennzahlen ab 2013" sheetId="10" r:id="rId5"/>
    <sheet name="Gesamtlohnsumme" sheetId="15" r:id="rId6"/>
    <sheet name="Ergebnisse Erfolgsrechnung" sheetId="12" r:id="rId7"/>
    <sheet name="Ergebnisse Investitionsrechnung" sheetId="14" r:id="rId8"/>
    <sheet name="frei verfügbares Eigenkapital" sheetId="16" r:id="rId9"/>
  </sheets>
  <externalReferences>
    <externalReference r:id="rId10"/>
    <externalReference r:id="rId11"/>
  </externalReferences>
  <definedNames>
    <definedName name="Budgetname">[1]Parameter!#REF!</definedName>
    <definedName name="Budgetname_Vorjahr">[1]Parameter!#REF!</definedName>
    <definedName name="Budgettyp">[1]Parameter!#REF!</definedName>
    <definedName name="_xlnm.Print_Area" localSheetId="1">Aufwandgruppen!$A$1:$N$42</definedName>
    <definedName name="_xlnm.Print_Area" localSheetId="6">'Ergebnisse Erfolgsrechnung'!$A$1:$L$50</definedName>
    <definedName name="_xlnm.Print_Area" localSheetId="7">'Ergebnisse Investitionsrechnung'!$A$1:$K$48</definedName>
    <definedName name="_xlnm.Print_Area" localSheetId="8">'frei verfügbares Eigenkapital'!$A$1:$N$11</definedName>
    <definedName name="_xlnm.Print_Area" localSheetId="5">Gesamtlohnsumme!$A$1:$AB$54</definedName>
    <definedName name="_xlnm.Print_Area" localSheetId="4">'HRM2-Kennzahlen ab 2013'!$A$1:$X$60</definedName>
    <definedName name="_xlnm.Print_Area" localSheetId="0">Schlüsselgrössen!$A$1:$Q$43</definedName>
    <definedName name="_xlnm.Print_Area" localSheetId="3">'SF Strassen'!$A$1:$I$40</definedName>
    <definedName name="Jahr" localSheetId="8">[1]Parameter!$B$3</definedName>
    <definedName name="Jahr">[2]Parameter!$B$3</definedName>
    <definedName name="Verbindung">[1]Parameter!$B$2</definedName>
  </definedNames>
  <calcPr calcId="162913"/>
</workbook>
</file>

<file path=xl/calcChain.xml><?xml version="1.0" encoding="utf-8"?>
<calcChain xmlns="http://schemas.openxmlformats.org/spreadsheetml/2006/main">
  <c r="I10" i="16" l="1"/>
  <c r="E32" i="12"/>
  <c r="AB12" i="15"/>
  <c r="AB5" i="15"/>
  <c r="AB4" i="15" l="1"/>
  <c r="B60" i="10"/>
  <c r="B45" i="10"/>
  <c r="C32" i="9"/>
  <c r="B32" i="9"/>
  <c r="L31" i="6"/>
  <c r="J31" i="6"/>
  <c r="I31" i="6"/>
  <c r="B31" i="6"/>
  <c r="I7" i="16" l="1"/>
  <c r="H7" i="16"/>
  <c r="H11" i="16" s="1"/>
  <c r="I11" i="16" l="1"/>
  <c r="F48" i="14" l="1"/>
  <c r="H32" i="14"/>
  <c r="D30" i="14"/>
  <c r="I30" i="14"/>
  <c r="J30" i="14"/>
  <c r="G48" i="14"/>
  <c r="E48" i="14"/>
  <c r="G47" i="14"/>
  <c r="E41" i="14"/>
  <c r="E40" i="14"/>
  <c r="G39" i="14"/>
  <c r="C39" i="14"/>
  <c r="B39" i="14"/>
  <c r="H31" i="14"/>
  <c r="D30" i="12" l="1"/>
  <c r="H30" i="12" s="1"/>
  <c r="I30" i="12" s="1"/>
  <c r="F50" i="12" l="1"/>
  <c r="E50" i="12"/>
  <c r="F43" i="12"/>
  <c r="E43" i="12"/>
  <c r="F42" i="12"/>
  <c r="E42" i="12"/>
  <c r="B41" i="12"/>
  <c r="G31" i="12"/>
  <c r="AA15" i="15"/>
  <c r="AA14" i="15"/>
  <c r="Z14" i="15"/>
  <c r="Y14" i="15"/>
  <c r="X14" i="15"/>
  <c r="W14" i="15"/>
  <c r="V14" i="15"/>
  <c r="U14" i="15"/>
  <c r="T14" i="15"/>
  <c r="S14" i="15"/>
  <c r="R14" i="15"/>
  <c r="AA7" i="15" l="1"/>
  <c r="Z7" i="15"/>
  <c r="AB6" i="15"/>
  <c r="AB14" i="15" s="1"/>
  <c r="AB15" i="15" s="1"/>
  <c r="Z16" i="15" s="1"/>
  <c r="AA6" i="15"/>
  <c r="Z6" i="15"/>
  <c r="AB7" i="15" l="1"/>
  <c r="V15" i="10"/>
  <c r="Q14" i="10" l="1"/>
  <c r="Q15" i="10"/>
  <c r="L58" i="10"/>
  <c r="D15" i="10" l="1"/>
  <c r="D14" i="10"/>
  <c r="D13" i="10"/>
  <c r="D12" i="10"/>
  <c r="D11" i="10"/>
  <c r="D10" i="10"/>
  <c r="D9" i="10"/>
  <c r="D8" i="10"/>
  <c r="D7" i="10"/>
  <c r="D6" i="10"/>
  <c r="B15" i="10"/>
  <c r="F15" i="10"/>
  <c r="H15" i="10" s="1"/>
  <c r="B14" i="10"/>
  <c r="B13" i="10"/>
  <c r="B12" i="10"/>
  <c r="B11" i="10"/>
  <c r="B10" i="10"/>
  <c r="B9" i="10"/>
  <c r="B8" i="10"/>
  <c r="B7" i="10"/>
  <c r="B6" i="10"/>
  <c r="N58" i="10"/>
  <c r="I58" i="10"/>
  <c r="F59" i="10"/>
  <c r="F58" i="10"/>
  <c r="D58" i="10"/>
  <c r="Q58" i="10"/>
  <c r="L43" i="10"/>
  <c r="S14" i="10"/>
  <c r="R14" i="10"/>
  <c r="U14" i="10" s="1"/>
  <c r="P14" i="10"/>
  <c r="K14" i="10"/>
  <c r="M14" i="10" s="1"/>
  <c r="F14" i="10"/>
  <c r="H14" i="10" s="1"/>
  <c r="E14" i="10"/>
  <c r="Q59" i="10"/>
  <c r="I59" i="10"/>
  <c r="D59" i="10"/>
  <c r="N59" i="10" s="1"/>
  <c r="R59" i="10" s="1"/>
  <c r="L44" i="10"/>
  <c r="P15" i="10"/>
  <c r="E15" i="10"/>
  <c r="R58" i="10" l="1"/>
  <c r="V14" i="10" s="1"/>
  <c r="X14" i="10" s="1"/>
  <c r="H30" i="8"/>
  <c r="H31" i="8"/>
  <c r="H32" i="8" s="1"/>
  <c r="D30" i="8"/>
  <c r="I30" i="11"/>
  <c r="I32" i="11"/>
  <c r="F30" i="8" l="1"/>
  <c r="G30" i="8" s="1"/>
  <c r="I31" i="11"/>
  <c r="F32" i="9"/>
  <c r="I30" i="9"/>
  <c r="F30" i="9"/>
  <c r="H31" i="9"/>
  <c r="F31" i="9"/>
  <c r="E31" i="9"/>
  <c r="C31" i="9"/>
  <c r="B31" i="9"/>
  <c r="K31" i="6"/>
  <c r="I29" i="6"/>
  <c r="G31" i="6"/>
  <c r="D31" i="6"/>
  <c r="D30" i="6"/>
  <c r="G29" i="6"/>
  <c r="K29" i="6" s="1"/>
  <c r="D29" i="6"/>
  <c r="G7" i="16"/>
  <c r="F7" i="16"/>
  <c r="E7" i="16"/>
  <c r="D7" i="16"/>
  <c r="B7" i="16" l="1"/>
  <c r="B11" i="16" s="1"/>
  <c r="C7" i="16"/>
  <c r="D11" i="16"/>
  <c r="C11" i="16"/>
  <c r="E11" i="16"/>
  <c r="F11" i="16"/>
  <c r="G11" i="16"/>
  <c r="L30" i="6" l="1"/>
  <c r="J30" i="6"/>
  <c r="G30" i="6"/>
  <c r="B30" i="6"/>
  <c r="I30" i="6" l="1"/>
  <c r="K30" i="6"/>
  <c r="R15" i="15"/>
  <c r="G32" i="12" l="1"/>
  <c r="G18" i="11"/>
  <c r="G15" i="11"/>
  <c r="G14" i="11"/>
  <c r="E16" i="9"/>
  <c r="E11" i="9"/>
  <c r="E15" i="9"/>
  <c r="J12" i="12"/>
  <c r="C8" i="14"/>
  <c r="L11" i="6"/>
  <c r="G7" i="6"/>
  <c r="F18" i="14"/>
  <c r="H18" i="14"/>
  <c r="K14" i="9"/>
  <c r="K16" i="9"/>
  <c r="K29" i="9"/>
  <c r="K28" i="9"/>
  <c r="K27" i="9"/>
  <c r="K26" i="9"/>
  <c r="K25" i="9"/>
  <c r="K24" i="9"/>
  <c r="K23" i="9"/>
  <c r="K22" i="9"/>
  <c r="G46" i="14"/>
  <c r="G45" i="14"/>
  <c r="G44" i="14"/>
  <c r="G41" i="14"/>
  <c r="G40" i="14"/>
  <c r="G16" i="11"/>
  <c r="G17" i="11"/>
  <c r="G19" i="11"/>
  <c r="G20" i="11"/>
  <c r="G21" i="11"/>
  <c r="I29" i="11"/>
  <c r="I28" i="11"/>
  <c r="I26" i="11"/>
  <c r="I25" i="11"/>
  <c r="I24" i="11"/>
  <c r="I23" i="11"/>
  <c r="I22" i="11"/>
  <c r="E6" i="9"/>
  <c r="E7" i="9"/>
  <c r="E14" i="9"/>
  <c r="E13" i="9"/>
  <c r="E8" i="9"/>
  <c r="E9" i="9"/>
  <c r="E10" i="9"/>
  <c r="E12" i="9"/>
  <c r="E17" i="9"/>
  <c r="E18" i="9"/>
  <c r="E19" i="9"/>
  <c r="E20" i="9"/>
  <c r="E21" i="9"/>
  <c r="I22" i="9"/>
  <c r="F22" i="9"/>
  <c r="I23" i="9"/>
  <c r="I24" i="9"/>
  <c r="F23" i="9"/>
  <c r="F24" i="9"/>
  <c r="I25" i="9"/>
  <c r="I26" i="9"/>
  <c r="F25" i="9"/>
  <c r="F26" i="9"/>
  <c r="F28" i="9"/>
  <c r="I27" i="9"/>
  <c r="F27" i="9"/>
  <c r="E28" i="9"/>
  <c r="E27" i="9"/>
  <c r="E26" i="9"/>
  <c r="E25" i="9"/>
  <c r="E24" i="9"/>
  <c r="E23" i="9"/>
  <c r="E22" i="9"/>
  <c r="I29" i="9"/>
  <c r="F29" i="9"/>
  <c r="E29" i="9"/>
  <c r="E32" i="9"/>
  <c r="G17" i="12"/>
  <c r="L20" i="6"/>
  <c r="L19" i="6"/>
  <c r="L18" i="6"/>
  <c r="L17" i="6"/>
  <c r="L13" i="6"/>
  <c r="L12" i="6"/>
  <c r="L10" i="6"/>
  <c r="L9" i="6"/>
  <c r="L8" i="6"/>
  <c r="L6" i="6"/>
  <c r="L5" i="6"/>
  <c r="D60" i="10"/>
  <c r="F60" i="10"/>
  <c r="I60" i="10"/>
  <c r="Q60" i="10"/>
  <c r="D57" i="10"/>
  <c r="F57" i="10"/>
  <c r="I57" i="10"/>
  <c r="K57" i="10"/>
  <c r="L57" i="10"/>
  <c r="N57" i="10"/>
  <c r="R57" i="10" s="1"/>
  <c r="V13" i="10" s="1"/>
  <c r="X13" i="10" s="1"/>
  <c r="Q57" i="10"/>
  <c r="D56" i="10"/>
  <c r="N56" i="10" s="1"/>
  <c r="R56" i="10" s="1"/>
  <c r="V12" i="10" s="1"/>
  <c r="X12" i="10" s="1"/>
  <c r="F56" i="10"/>
  <c r="I56" i="10"/>
  <c r="K56" i="10"/>
  <c r="Q56" i="10"/>
  <c r="D55" i="10"/>
  <c r="F55" i="10"/>
  <c r="I55" i="10"/>
  <c r="K55" i="10"/>
  <c r="L55" i="10"/>
  <c r="N55" i="10"/>
  <c r="R55" i="10" s="1"/>
  <c r="V11" i="10" s="1"/>
  <c r="X11" i="10" s="1"/>
  <c r="Q55" i="10"/>
  <c r="D54" i="10"/>
  <c r="N54" i="10" s="1"/>
  <c r="R54" i="10" s="1"/>
  <c r="V10" i="10" s="1"/>
  <c r="X10" i="10" s="1"/>
  <c r="F54" i="10"/>
  <c r="I54" i="10"/>
  <c r="K54" i="10"/>
  <c r="Q54" i="10"/>
  <c r="D53" i="10"/>
  <c r="N53" i="10" s="1"/>
  <c r="R53" i="10" s="1"/>
  <c r="V9" i="10" s="1"/>
  <c r="X9" i="10" s="1"/>
  <c r="F53" i="10"/>
  <c r="I53" i="10"/>
  <c r="K53" i="10"/>
  <c r="Q53" i="10"/>
  <c r="D52" i="10"/>
  <c r="N52" i="10" s="1"/>
  <c r="R52" i="10" s="1"/>
  <c r="V8" i="10" s="1"/>
  <c r="X8" i="10" s="1"/>
  <c r="F52" i="10"/>
  <c r="I52" i="10"/>
  <c r="K52" i="10"/>
  <c r="L52" i="10"/>
  <c r="Q52" i="10"/>
  <c r="D51" i="10"/>
  <c r="F51" i="10"/>
  <c r="I51" i="10"/>
  <c r="K51" i="10"/>
  <c r="N51" i="10"/>
  <c r="R51" i="10" s="1"/>
  <c r="V7" i="10" s="1"/>
  <c r="X7" i="10" s="1"/>
  <c r="Q51" i="10"/>
  <c r="D50" i="10"/>
  <c r="F50" i="10"/>
  <c r="I50" i="10"/>
  <c r="K50" i="10"/>
  <c r="N50" i="10"/>
  <c r="Q50" i="10"/>
  <c r="R50" i="10"/>
  <c r="V6" i="10"/>
  <c r="L42" i="10"/>
  <c r="J21" i="12"/>
  <c r="J20" i="12"/>
  <c r="J19" i="12"/>
  <c r="J18" i="12"/>
  <c r="J14" i="12"/>
  <c r="J13" i="12"/>
  <c r="J11" i="12"/>
  <c r="J10" i="12"/>
  <c r="J9" i="12"/>
  <c r="J7" i="12"/>
  <c r="J6" i="12"/>
  <c r="D29" i="12"/>
  <c r="H29" i="12" s="1"/>
  <c r="G29" i="12"/>
  <c r="D28" i="12"/>
  <c r="H28" i="12"/>
  <c r="I28" i="12"/>
  <c r="D27" i="12"/>
  <c r="G27" i="12"/>
  <c r="H27" i="12"/>
  <c r="I27" i="12"/>
  <c r="D26" i="12"/>
  <c r="H26" i="12"/>
  <c r="I26" i="12"/>
  <c r="D25" i="12"/>
  <c r="H25" i="12"/>
  <c r="I25" i="12"/>
  <c r="D24" i="12"/>
  <c r="H24" i="12"/>
  <c r="I24" i="12"/>
  <c r="D23" i="12"/>
  <c r="H23" i="12"/>
  <c r="I23" i="12"/>
  <c r="D22" i="12"/>
  <c r="H22" i="12"/>
  <c r="I22" i="12"/>
  <c r="D21" i="12"/>
  <c r="E21" i="12"/>
  <c r="G21" i="12"/>
  <c r="H21" i="12"/>
  <c r="I21" i="12"/>
  <c r="D20" i="12"/>
  <c r="E20" i="12"/>
  <c r="G20" i="12"/>
  <c r="H20" i="12"/>
  <c r="I20" i="12"/>
  <c r="D19" i="12"/>
  <c r="G19" i="12"/>
  <c r="H19" i="12"/>
  <c r="I19" i="12"/>
  <c r="C18" i="12"/>
  <c r="D18" i="12"/>
  <c r="G18" i="12"/>
  <c r="H18" i="12"/>
  <c r="I18" i="12"/>
  <c r="D17" i="12"/>
  <c r="H17" i="12"/>
  <c r="I17" i="12"/>
  <c r="C16" i="12"/>
  <c r="D16" i="12"/>
  <c r="E16" i="12"/>
  <c r="G16" i="12"/>
  <c r="H16" i="12"/>
  <c r="I16" i="12"/>
  <c r="D15" i="12"/>
  <c r="G15" i="12"/>
  <c r="H15" i="12"/>
  <c r="I15" i="12"/>
  <c r="C14" i="12"/>
  <c r="D14" i="12"/>
  <c r="G14" i="12"/>
  <c r="H14" i="12"/>
  <c r="I14" i="12"/>
  <c r="C13" i="12"/>
  <c r="D13" i="12"/>
  <c r="G13" i="12"/>
  <c r="H13" i="12"/>
  <c r="I13" i="12"/>
  <c r="D12" i="12"/>
  <c r="G12" i="12"/>
  <c r="H12" i="12"/>
  <c r="I12" i="12"/>
  <c r="D11" i="12"/>
  <c r="G11" i="12"/>
  <c r="H11" i="12"/>
  <c r="I11" i="12"/>
  <c r="D10" i="12"/>
  <c r="E10" i="12"/>
  <c r="G10" i="12"/>
  <c r="H10" i="12"/>
  <c r="I10" i="12"/>
  <c r="D9" i="12"/>
  <c r="E9" i="12"/>
  <c r="G9" i="12"/>
  <c r="H9" i="12"/>
  <c r="I9" i="12"/>
  <c r="D8" i="12"/>
  <c r="E8" i="12"/>
  <c r="G8" i="12"/>
  <c r="H8" i="12"/>
  <c r="I8" i="12"/>
  <c r="C7" i="12"/>
  <c r="D7" i="12"/>
  <c r="G7" i="12"/>
  <c r="H7" i="12"/>
  <c r="I7" i="12"/>
  <c r="C6" i="12"/>
  <c r="D6" i="12"/>
  <c r="G6" i="12"/>
  <c r="H6" i="12"/>
  <c r="I6" i="12"/>
  <c r="J49" i="12"/>
  <c r="J48" i="12"/>
  <c r="J47" i="12"/>
  <c r="J46" i="12"/>
  <c r="J41" i="12"/>
  <c r="Z15" i="15"/>
  <c r="Y6" i="15"/>
  <c r="Y15" i="15"/>
  <c r="X6" i="15"/>
  <c r="X15" i="15"/>
  <c r="W6" i="15"/>
  <c r="W15" i="15"/>
  <c r="V6" i="15"/>
  <c r="V15" i="15"/>
  <c r="U6" i="15"/>
  <c r="U15" i="15"/>
  <c r="T6" i="15"/>
  <c r="T15" i="15"/>
  <c r="S6" i="15"/>
  <c r="S15" i="15"/>
  <c r="R6" i="15"/>
  <c r="Y7" i="15"/>
  <c r="X7" i="15"/>
  <c r="W7" i="15"/>
  <c r="V7" i="15"/>
  <c r="U7" i="15"/>
  <c r="T7" i="15"/>
  <c r="S7" i="15"/>
  <c r="R7" i="15"/>
  <c r="Q6" i="15"/>
  <c r="Q7" i="15"/>
  <c r="P6" i="15"/>
  <c r="P7" i="15"/>
  <c r="O6" i="15"/>
  <c r="O7" i="15"/>
  <c r="N6" i="15"/>
  <c r="N7" i="15"/>
  <c r="M6" i="15"/>
  <c r="M7" i="15"/>
  <c r="L6" i="15"/>
  <c r="L7" i="15"/>
  <c r="K6" i="15"/>
  <c r="K7" i="15"/>
  <c r="J6" i="15"/>
  <c r="J7" i="15"/>
  <c r="I6" i="15"/>
  <c r="I7" i="15"/>
  <c r="H6" i="15"/>
  <c r="H7" i="15"/>
  <c r="G6" i="15"/>
  <c r="G7" i="15"/>
  <c r="F6" i="15"/>
  <c r="F7" i="15"/>
  <c r="E6" i="15"/>
  <c r="E7" i="15"/>
  <c r="D6" i="15"/>
  <c r="D7" i="15"/>
  <c r="C6" i="15"/>
  <c r="C7" i="15"/>
  <c r="H30" i="14"/>
  <c r="D26" i="14"/>
  <c r="I26" i="14" s="1"/>
  <c r="H26" i="14"/>
  <c r="H47" i="14" s="1"/>
  <c r="D27" i="14"/>
  <c r="H27" i="14"/>
  <c r="I27" i="14"/>
  <c r="J27" i="14"/>
  <c r="D28" i="14"/>
  <c r="H28" i="14"/>
  <c r="I28" i="14" s="1"/>
  <c r="J28" i="14" s="1"/>
  <c r="D29" i="14"/>
  <c r="H29" i="14"/>
  <c r="I29" i="14"/>
  <c r="J29" i="14"/>
  <c r="F47" i="14"/>
  <c r="E47" i="14"/>
  <c r="D47" i="14"/>
  <c r="C47" i="14"/>
  <c r="B47" i="14"/>
  <c r="C22" i="14"/>
  <c r="D22" i="14"/>
  <c r="D46" i="14" s="1"/>
  <c r="C23" i="14"/>
  <c r="D23" i="14"/>
  <c r="I23" i="14" s="1"/>
  <c r="J23" i="14" s="1"/>
  <c r="C24" i="14"/>
  <c r="D24" i="14"/>
  <c r="C25" i="14"/>
  <c r="D25" i="14"/>
  <c r="C18" i="14"/>
  <c r="C21" i="14"/>
  <c r="C45" i="14"/>
  <c r="B44" i="14"/>
  <c r="H6" i="14"/>
  <c r="I6" i="14" s="1"/>
  <c r="H7" i="14"/>
  <c r="H8" i="14"/>
  <c r="I8" i="14" s="1"/>
  <c r="J8" i="14" s="1"/>
  <c r="H9" i="14"/>
  <c r="H10" i="14"/>
  <c r="H11" i="14"/>
  <c r="H12" i="14"/>
  <c r="I12" i="14" s="1"/>
  <c r="J12" i="14" s="1"/>
  <c r="H13" i="14"/>
  <c r="F14" i="14"/>
  <c r="H14" i="14"/>
  <c r="H15" i="14"/>
  <c r="F16" i="14"/>
  <c r="H16" i="14"/>
  <c r="F17" i="14"/>
  <c r="H17" i="14"/>
  <c r="F19" i="14"/>
  <c r="H19" i="14"/>
  <c r="H20" i="14"/>
  <c r="F21" i="14"/>
  <c r="H21" i="14"/>
  <c r="H22" i="14"/>
  <c r="H46" i="14" s="1"/>
  <c r="H23" i="14"/>
  <c r="H24" i="14"/>
  <c r="H25" i="14"/>
  <c r="D6" i="14"/>
  <c r="D7" i="14"/>
  <c r="I7" i="14"/>
  <c r="J7" i="14" s="1"/>
  <c r="D8" i="14"/>
  <c r="D9" i="14"/>
  <c r="I9" i="14" s="1"/>
  <c r="J9" i="14" s="1"/>
  <c r="D10" i="14"/>
  <c r="I10" i="14"/>
  <c r="J10" i="14"/>
  <c r="D11" i="14"/>
  <c r="I11" i="14" s="1"/>
  <c r="J11" i="14" s="1"/>
  <c r="D12" i="14"/>
  <c r="G30" i="12"/>
  <c r="G49" i="12"/>
  <c r="F49" i="12"/>
  <c r="E27" i="12"/>
  <c r="E49" i="12"/>
  <c r="D49" i="12"/>
  <c r="C49" i="12"/>
  <c r="B49" i="12"/>
  <c r="B48" i="12"/>
  <c r="I47" i="12"/>
  <c r="B47" i="12"/>
  <c r="B46" i="12"/>
  <c r="L45" i="10"/>
  <c r="B16" i="10" s="1"/>
  <c r="D16" i="10" s="1"/>
  <c r="L41" i="10"/>
  <c r="L40" i="10"/>
  <c r="L39" i="10"/>
  <c r="L38" i="10"/>
  <c r="K37" i="10"/>
  <c r="L37" i="10"/>
  <c r="K36" i="10"/>
  <c r="L36" i="10"/>
  <c r="L35" i="10"/>
  <c r="P12" i="10"/>
  <c r="Q12" i="10"/>
  <c r="P16" i="10"/>
  <c r="Q16" i="10" s="1"/>
  <c r="R13" i="10"/>
  <c r="S13" i="10"/>
  <c r="U13" i="10"/>
  <c r="P13" i="10"/>
  <c r="Q13" i="10"/>
  <c r="K13" i="10"/>
  <c r="M13" i="10"/>
  <c r="F13" i="10"/>
  <c r="H13" i="10"/>
  <c r="E13" i="10"/>
  <c r="D7" i="8"/>
  <c r="H7" i="8"/>
  <c r="D8" i="8"/>
  <c r="H8" i="8"/>
  <c r="D9" i="8"/>
  <c r="H9" i="8"/>
  <c r="D10" i="8"/>
  <c r="H10" i="8"/>
  <c r="D11" i="8"/>
  <c r="H11" i="8"/>
  <c r="D12" i="8"/>
  <c r="H12" i="8"/>
  <c r="D13" i="8"/>
  <c r="H13" i="8"/>
  <c r="D14" i="8"/>
  <c r="H14" i="8"/>
  <c r="D15" i="8"/>
  <c r="H15" i="8"/>
  <c r="D16" i="8"/>
  <c r="H16" i="8"/>
  <c r="D17" i="8"/>
  <c r="H17" i="8"/>
  <c r="D18" i="8"/>
  <c r="H18" i="8"/>
  <c r="D19" i="8"/>
  <c r="H19" i="8"/>
  <c r="D20" i="8"/>
  <c r="H20" i="8"/>
  <c r="D21" i="8"/>
  <c r="H21" i="8"/>
  <c r="D22" i="8"/>
  <c r="H22" i="8"/>
  <c r="D23" i="8"/>
  <c r="H23" i="8"/>
  <c r="D24" i="8"/>
  <c r="H24" i="8"/>
  <c r="D25" i="8"/>
  <c r="H25" i="8"/>
  <c r="D26" i="8"/>
  <c r="H26" i="8"/>
  <c r="D27" i="8"/>
  <c r="H27" i="8"/>
  <c r="D28" i="8"/>
  <c r="H28" i="8"/>
  <c r="D29" i="8"/>
  <c r="H29" i="8"/>
  <c r="F29" i="8"/>
  <c r="G29" i="8"/>
  <c r="F10" i="10"/>
  <c r="G25" i="6"/>
  <c r="I25" i="6" s="1"/>
  <c r="G28" i="6"/>
  <c r="I28" i="6" s="1"/>
  <c r="G27" i="6"/>
  <c r="I27" i="6" s="1"/>
  <c r="G26" i="6"/>
  <c r="I26" i="6" s="1"/>
  <c r="G24" i="6"/>
  <c r="I24" i="6" s="1"/>
  <c r="G23" i="6"/>
  <c r="I23" i="6" s="1"/>
  <c r="G22" i="6"/>
  <c r="I22" i="6" s="1"/>
  <c r="G21" i="6"/>
  <c r="I21" i="6" s="1"/>
  <c r="D28" i="6"/>
  <c r="I22" i="14"/>
  <c r="J22" i="14" s="1"/>
  <c r="I24" i="14"/>
  <c r="J24" i="14"/>
  <c r="I25" i="14"/>
  <c r="J25" i="14" s="1"/>
  <c r="D18" i="14"/>
  <c r="I18" i="14"/>
  <c r="J18" i="14"/>
  <c r="D19" i="14"/>
  <c r="I19" i="14" s="1"/>
  <c r="D20" i="14"/>
  <c r="I20" i="14"/>
  <c r="J20" i="14"/>
  <c r="D21" i="14"/>
  <c r="I21" i="14" s="1"/>
  <c r="J21" i="14" s="1"/>
  <c r="C14" i="14"/>
  <c r="D14" i="14"/>
  <c r="D44" i="14" s="1"/>
  <c r="I14" i="14"/>
  <c r="J14" i="14" s="1"/>
  <c r="J44" i="14" s="1"/>
  <c r="C15" i="14"/>
  <c r="D15" i="14"/>
  <c r="I15" i="14"/>
  <c r="J15" i="14"/>
  <c r="C16" i="14"/>
  <c r="D16" i="14"/>
  <c r="I16" i="14" s="1"/>
  <c r="J16" i="14" s="1"/>
  <c r="C17" i="14"/>
  <c r="D17" i="14"/>
  <c r="I17" i="14"/>
  <c r="J17" i="14" s="1"/>
  <c r="D13" i="14"/>
  <c r="I13" i="14"/>
  <c r="J13" i="14"/>
  <c r="C41" i="12"/>
  <c r="R12" i="10"/>
  <c r="S12" i="10"/>
  <c r="U12" i="10"/>
  <c r="K12" i="10"/>
  <c r="M12" i="10"/>
  <c r="F12" i="10"/>
  <c r="H12" i="10"/>
  <c r="E12" i="10"/>
  <c r="F28" i="8"/>
  <c r="G28" i="8"/>
  <c r="D27" i="6"/>
  <c r="G10" i="11"/>
  <c r="I12" i="6"/>
  <c r="I11" i="6"/>
  <c r="I10" i="6"/>
  <c r="I9" i="6"/>
  <c r="I8" i="6"/>
  <c r="I7" i="6"/>
  <c r="I6" i="6"/>
  <c r="I5" i="6"/>
  <c r="F46" i="14"/>
  <c r="E46" i="14"/>
  <c r="B46" i="14"/>
  <c r="E45" i="14"/>
  <c r="B45" i="14"/>
  <c r="E44" i="14"/>
  <c r="G48" i="12"/>
  <c r="F48" i="12"/>
  <c r="E48" i="12"/>
  <c r="C48" i="12"/>
  <c r="F47" i="12"/>
  <c r="F46" i="12"/>
  <c r="Q11" i="10"/>
  <c r="S11" i="10"/>
  <c r="S10" i="10"/>
  <c r="S9" i="10"/>
  <c r="S8" i="10"/>
  <c r="S7" i="10"/>
  <c r="S6" i="10"/>
  <c r="R11" i="10"/>
  <c r="U11" i="10" s="1"/>
  <c r="R10" i="10"/>
  <c r="R9" i="10"/>
  <c r="U9" i="10" s="1"/>
  <c r="R8" i="10"/>
  <c r="U8" i="10" s="1"/>
  <c r="R7" i="10"/>
  <c r="U7" i="10" s="1"/>
  <c r="R6" i="10"/>
  <c r="E6" i="10"/>
  <c r="D6" i="8"/>
  <c r="D26" i="6"/>
  <c r="D25" i="6"/>
  <c r="D24" i="6"/>
  <c r="D23" i="6"/>
  <c r="D22" i="6"/>
  <c r="D21" i="6"/>
  <c r="D20" i="6"/>
  <c r="D19" i="6"/>
  <c r="D18" i="6"/>
  <c r="D17" i="6"/>
  <c r="D16" i="6"/>
  <c r="D15" i="6"/>
  <c r="D14" i="6"/>
  <c r="D13" i="6"/>
  <c r="D12" i="6"/>
  <c r="D11" i="6"/>
  <c r="D10" i="6"/>
  <c r="D9" i="6"/>
  <c r="D8" i="6"/>
  <c r="D7" i="6"/>
  <c r="D6" i="6"/>
  <c r="D5" i="6"/>
  <c r="G20" i="6"/>
  <c r="G19" i="6"/>
  <c r="G18" i="6"/>
  <c r="G17" i="6"/>
  <c r="G16" i="6"/>
  <c r="G15" i="6"/>
  <c r="G14" i="6"/>
  <c r="G13" i="6"/>
  <c r="G12" i="6"/>
  <c r="G11" i="6"/>
  <c r="G10" i="6"/>
  <c r="G9" i="6"/>
  <c r="G8" i="6"/>
  <c r="G6" i="6"/>
  <c r="G5" i="6"/>
  <c r="F44" i="14"/>
  <c r="E39" i="14"/>
  <c r="F39" i="14"/>
  <c r="E47" i="12"/>
  <c r="C46" i="12"/>
  <c r="C47" i="12"/>
  <c r="D48" i="12"/>
  <c r="U6" i="10"/>
  <c r="Q6" i="10"/>
  <c r="Q7" i="10"/>
  <c r="Q10" i="10"/>
  <c r="Q9" i="10"/>
  <c r="Q8" i="10"/>
  <c r="K6" i="10"/>
  <c r="M6" i="10" s="1"/>
  <c r="K7" i="10"/>
  <c r="M7" i="10"/>
  <c r="K11" i="10"/>
  <c r="M11" i="10" s="1"/>
  <c r="K10" i="10"/>
  <c r="M10" i="10" s="1"/>
  <c r="K9" i="10"/>
  <c r="M9" i="10" s="1"/>
  <c r="K8" i="10"/>
  <c r="M8" i="10" s="1"/>
  <c r="F6" i="10"/>
  <c r="H6" i="10" s="1"/>
  <c r="F7" i="10"/>
  <c r="H7" i="10"/>
  <c r="F11" i="10"/>
  <c r="H11" i="10" s="1"/>
  <c r="H10" i="10"/>
  <c r="F9" i="10"/>
  <c r="H9" i="10" s="1"/>
  <c r="F8" i="10"/>
  <c r="H8" i="10" s="1"/>
  <c r="E7" i="10"/>
  <c r="E8" i="10"/>
  <c r="E9" i="10"/>
  <c r="E10" i="10"/>
  <c r="E11" i="10"/>
  <c r="F41" i="12"/>
  <c r="F27" i="8"/>
  <c r="G27" i="8"/>
  <c r="F26" i="8"/>
  <c r="G26" i="8"/>
  <c r="F25" i="8"/>
  <c r="G25" i="8"/>
  <c r="F24" i="8"/>
  <c r="G24" i="8"/>
  <c r="F23" i="8"/>
  <c r="G23" i="8"/>
  <c r="F22" i="8"/>
  <c r="G22" i="8"/>
  <c r="F21" i="8"/>
  <c r="G21" i="8"/>
  <c r="F20" i="8"/>
  <c r="G20" i="8"/>
  <c r="F19" i="8"/>
  <c r="G19" i="8"/>
  <c r="F18" i="8"/>
  <c r="G18" i="8"/>
  <c r="F17" i="8"/>
  <c r="G17" i="8"/>
  <c r="F16" i="8"/>
  <c r="G16" i="8"/>
  <c r="F15" i="8"/>
  <c r="G15" i="8"/>
  <c r="F14" i="8"/>
  <c r="G14" i="8"/>
  <c r="F13" i="8"/>
  <c r="G13" i="8"/>
  <c r="F12" i="8"/>
  <c r="G12" i="8"/>
  <c r="F11" i="8"/>
  <c r="G11" i="8"/>
  <c r="F10" i="8"/>
  <c r="G10" i="8"/>
  <c r="F9" i="8"/>
  <c r="G9" i="8"/>
  <c r="F8" i="8"/>
  <c r="G8" i="8"/>
  <c r="F7" i="8"/>
  <c r="G7" i="8"/>
  <c r="F6" i="8"/>
  <c r="G6" i="8"/>
  <c r="X6" i="10"/>
  <c r="G6" i="11"/>
  <c r="G7" i="11"/>
  <c r="G8" i="11"/>
  <c r="G9" i="11"/>
  <c r="G11" i="11"/>
  <c r="G12" i="11"/>
  <c r="G13" i="11"/>
  <c r="C44" i="14"/>
  <c r="D46" i="12"/>
  <c r="G47" i="12"/>
  <c r="E46" i="12"/>
  <c r="H45" i="14"/>
  <c r="F45" i="14"/>
  <c r="I48" i="12"/>
  <c r="H48" i="12"/>
  <c r="D41" i="12"/>
  <c r="D47" i="12"/>
  <c r="C46" i="14"/>
  <c r="G46" i="12"/>
  <c r="F41" i="14"/>
  <c r="H39" i="14"/>
  <c r="F40" i="14"/>
  <c r="E41" i="12"/>
  <c r="G41" i="12"/>
  <c r="H41" i="12"/>
  <c r="H47" i="12"/>
  <c r="I41" i="12"/>
  <c r="I46" i="12"/>
  <c r="H46" i="12"/>
  <c r="H49" i="12" l="1"/>
  <c r="I29" i="12"/>
  <c r="I49" i="12" s="1"/>
  <c r="H40" i="14"/>
  <c r="H41" i="14"/>
  <c r="H48" i="14"/>
  <c r="J26" i="14"/>
  <c r="J47" i="14" s="1"/>
  <c r="I47" i="14"/>
  <c r="I45" i="14"/>
  <c r="J19" i="14"/>
  <c r="J45" i="14" s="1"/>
  <c r="J6" i="14"/>
  <c r="J39" i="14" s="1"/>
  <c r="I39" i="14"/>
  <c r="J46" i="14"/>
  <c r="D39" i="14"/>
  <c r="I44" i="14"/>
  <c r="H44" i="14"/>
  <c r="I46" i="14"/>
  <c r="D45" i="14"/>
  <c r="G50" i="12"/>
  <c r="G42" i="12"/>
  <c r="G43" i="12"/>
  <c r="F16" i="10"/>
  <c r="H16" i="10" s="1"/>
  <c r="E16" i="10"/>
  <c r="N60" i="10"/>
  <c r="R60" i="10" s="1"/>
  <c r="X15" i="10"/>
  <c r="U10" i="10"/>
  <c r="K28" i="6"/>
  <c r="V16" i="10" l="1"/>
  <c r="X16" i="10" s="1"/>
</calcChain>
</file>

<file path=xl/sharedStrings.xml><?xml version="1.0" encoding="utf-8"?>
<sst xmlns="http://schemas.openxmlformats.org/spreadsheetml/2006/main" count="839" uniqueCount="479">
  <si>
    <t>(- = Nettovermögen)</t>
  </si>
  <si>
    <t>Ergebnis</t>
  </si>
  <si>
    <t>Selbst-finanzierung</t>
  </si>
  <si>
    <t>Finanzierungs-saldo</t>
  </si>
  <si>
    <t>Jahr</t>
  </si>
  <si>
    <t>Schlüsselgrössen Finanzhaushalt Kanton Graubünden seit 1997</t>
  </si>
  <si>
    <t>HRM2-Kennzahlen Kanton Graubünden seit 2013</t>
  </si>
  <si>
    <t>Selbstfinanzierungsgrad</t>
  </si>
  <si>
    <t>Selbstfinanzierungsanteil</t>
  </si>
  <si>
    <t>Nettoverschuldungsquotient</t>
  </si>
  <si>
    <t>Zinsbelastungsanteil</t>
  </si>
  <si>
    <t>Einwohner</t>
  </si>
  <si>
    <t>Laufender Ertrag</t>
  </si>
  <si>
    <t>Zahlen gemäss Berechnungsart ab 2017 (2013-2016 Restatement)</t>
  </si>
  <si>
    <t>Schlüsselgrössen Spezialfinanzierung Strassen Kanton Graubünden seit 1997</t>
  </si>
  <si>
    <t>(- = Schuld)</t>
  </si>
  <si>
    <t>Bruttoin-landprodukt</t>
  </si>
  <si>
    <t xml:space="preserve">Netto-investitionen </t>
  </si>
  <si>
    <t>Selbstfinanz-ierungsgrad</t>
  </si>
  <si>
    <t>Selbstfinanz-ierungsanteil</t>
  </si>
  <si>
    <t>Nettoverschuld-ungsquotient</t>
  </si>
  <si>
    <t>Zinsbelast-ungsanteil</t>
  </si>
  <si>
    <t>Nettovermögen pro Einwohner in Franken</t>
  </si>
  <si>
    <t>Nettover-mögen pro EW</t>
  </si>
  <si>
    <t>kantonale Staatsquote</t>
  </si>
  <si>
    <t>Bemerkungen zur 2. Stufe</t>
  </si>
  <si>
    <t>Bemerkungen zur 1. Stufe</t>
  </si>
  <si>
    <t>Gesamt-ergebnis
(3. Stufe)</t>
  </si>
  <si>
    <r>
      <rPr>
        <vertAlign val="superscript"/>
        <sz val="10"/>
        <rFont val="Arial Narrow"/>
        <family val="2"/>
      </rPr>
      <t>2)</t>
    </r>
    <r>
      <rPr>
        <sz val="10"/>
        <rFont val="Arial Narrow"/>
        <family val="2"/>
      </rPr>
      <t xml:space="preserve"> Budget ohne Nachtragskredite</t>
    </r>
  </si>
  <si>
    <r>
      <rPr>
        <vertAlign val="superscript"/>
        <sz val="10"/>
        <rFont val="Arial Narrow"/>
        <family val="2"/>
      </rPr>
      <t xml:space="preserve">3) </t>
    </r>
    <r>
      <rPr>
        <sz val="10"/>
        <rFont val="Arial Narrow"/>
        <family val="2"/>
      </rPr>
      <t>Einführung HRM2</t>
    </r>
  </si>
  <si>
    <t>Ergebnisse Investitionsrechnung Kanton Graubünden seit 1997</t>
  </si>
  <si>
    <t>Abweichung</t>
  </si>
  <si>
    <t>RE / BU 
Ergebnis</t>
  </si>
  <si>
    <t>Jahresrechnung (RE)</t>
  </si>
  <si>
    <t>in % der Ausgaben</t>
  </si>
  <si>
    <t>Ergebnisse Erfolgsrechnung Kanton Graubünden seit 1997</t>
  </si>
  <si>
    <r>
      <t>Budget</t>
    </r>
    <r>
      <rPr>
        <b/>
        <vertAlign val="superscript"/>
        <sz val="10"/>
        <color theme="1"/>
        <rFont val="Arial Narrow"/>
        <family val="2"/>
      </rPr>
      <t>2)</t>
    </r>
    <r>
      <rPr>
        <b/>
        <sz val="10"/>
        <color theme="1"/>
        <rFont val="Arial Narrow"/>
        <family val="2"/>
      </rPr>
      <t xml:space="preserve"> (BU) </t>
    </r>
  </si>
  <si>
    <r>
      <t>2012</t>
    </r>
    <r>
      <rPr>
        <b/>
        <vertAlign val="superscript"/>
        <sz val="10"/>
        <rFont val="Arial Narrow"/>
        <family val="2"/>
      </rPr>
      <t>1)</t>
    </r>
  </si>
  <si>
    <r>
      <rPr>
        <vertAlign val="superscript"/>
        <sz val="10"/>
        <rFont val="Arial Narrow"/>
        <family val="2"/>
      </rPr>
      <t xml:space="preserve">1) </t>
    </r>
    <r>
      <rPr>
        <sz val="10"/>
        <rFont val="Arial Narrow"/>
        <family val="2"/>
      </rPr>
      <t>bis 2012: ordentliches Ergebnis / Budget Laufende Rechnung</t>
    </r>
  </si>
  <si>
    <t>Richtwerte</t>
  </si>
  <si>
    <t>Aussage</t>
  </si>
  <si>
    <t>Bemerkung</t>
  </si>
  <si>
    <t>Hochkonjunktur &gt; 100 %, 
Normalfall 80 bis 100 %, 
Abschwung 50 bis 79 %, 
Ungenügend &lt; 50 %</t>
  </si>
  <si>
    <t xml:space="preserve">Der Selbstfinanzierungsgrad zeigt den Anteil der Nettoinvestitionen, den der Kanton aus eigenen Mitteln finanzieren kann. </t>
  </si>
  <si>
    <t>&gt; 20 % = gut,
10 bis 20 % = mittel,
&lt; 10 % = schlecht</t>
  </si>
  <si>
    <t xml:space="preserve">Die Kennzahlen werden unter Berücksichtigung des buchwirksamen, ausserordentlichen Finanzaufwands/-ertrags berechnet. Die Selbstfinanzierung enthält die ausserordentlichen Wertberichtigungen auf Finanzanlagen (Kontengruppen 3841/4841). Das verbessert die Aussagekraft dieser Kennzahlen. </t>
  </si>
  <si>
    <t>&lt; 0 % = sehr gut,
0 bis 100 % = gut,
100 bis 150 % = genügend,
&gt; 150 % = schlecht</t>
  </si>
  <si>
    <t>Gibt an, welcher Anteil der Steuererträge erforderlich wäre, um die Nettoschuld abzutragen.</t>
  </si>
  <si>
    <t xml:space="preserve">Der Kanton weist ein Nettovermögen statt einer Nettoschuld auf. </t>
  </si>
  <si>
    <t>Formel</t>
  </si>
  <si>
    <t>Selbstfinanzierung x 100</t>
  </si>
  <si>
    <t>Nettoinvestitionen</t>
  </si>
  <si>
    <t>&lt; 0 % = sehr gut,
0 bis 4 % = gut,
4,1 bis 9 % = genügend,
&gt; 9 % = schlecht</t>
  </si>
  <si>
    <t>Anteil des «verfügbaren Einkommens», welcher durch den Nettozinsaufwand gebunden ist. Je tiefer der Wert, desto grösser der Handlungsspielraum.</t>
  </si>
  <si>
    <t xml:space="preserve">Aufgrund der unverändert guten Liquiditätslage und des tiefen Fremdkapitals übersteigt der Zinsertrag die Zinsaufwendungen trotz Niedrigzinsumfelds und Negativzinsen. </t>
  </si>
  <si>
    <t>Erläuterungen</t>
  </si>
  <si>
    <t>Nettovermögen/-schuld pro Einwohner in Fr.</t>
  </si>
  <si>
    <t>&lt; 0 Franken = Nettovermögen,
0 bis 1000 Franken geringe Verschuldung,
1001 bis 2500 Franken = mittlere Verschuldung,
&gt; 2500 Franken = hohe Verschuldung</t>
  </si>
  <si>
    <t>Das Finanzvermögen übersteigt das Fremdkapital, daher das negative Vorzeichen der Kennzahl.</t>
  </si>
  <si>
    <t>Gesamtausgaben x 100</t>
  </si>
  <si>
    <t>Bruttoinlandprodukt (BIP)</t>
  </si>
  <si>
    <t>Stellt die kantonalen Gesamtausgaben im Verhältnis zum nominalen Bündner Bruttoinlandprodukt (BIP) dar.</t>
  </si>
  <si>
    <t>Je nach Abweichungen des tatsächlichen BIP gemäss BFS vom geschätzten BIP verändert sich die Kennzahl rückwirkend.</t>
  </si>
  <si>
    <t>sonderfinanzierte Darlehen an LKG (RE 0,1 Mio. BU 6,0 Mio.)</t>
  </si>
  <si>
    <t>sonderfinanzierte Darlehen an LKG (RE 0,1 Mio. BU 4,0 Mio.)</t>
  </si>
  <si>
    <t>vom Bund finanzierte Darlehen (LKG RE 4,2 Mio. BU 4,4 Mio., NRP netto RE 4,8 Mio. BU 7,7 Mio., Waldgesetz netto RE -0,24 Mio. BU 0,14 Mio.), vom RW ausgenommene Vorhaben (Sinergia RE 5,0 Mio. BU 6,5 Mio.), RE: zusätzlich Erhöhung Beteiligung REPower 86 Mio.</t>
  </si>
  <si>
    <t>sonderfinanzierte Darlehen an LKG (RE 7,6 Mio., BU 4,0 Mio.) und Darlehensrückzahlungen der ALV (RE -28,1 Mio. BU -17,1 Mio.)</t>
  </si>
  <si>
    <t>sonderfinanzierte Darlehen an LKG (RE 8,1 Mio. BU 6,0 Mio.) und Darlehensrückzahlungen der ALV (RE -14,4 Mio. BU -11,5 Mio.)</t>
  </si>
  <si>
    <t>Anteil am Deckungsfehlbetrag der KPG (RE 381,3 Mio. BU 400 Mio.), bereinigt: Darlehen an LKG (RE 1,1 Mio. BU 1 Mio.)</t>
  </si>
  <si>
    <t>vom Bund finanzierte Darlehen (LKG RE 6,9 Mio. BU 4,6 Mio., bereinigt: NRP netto RE 5,6 Mio. BU 8,8 Mio. und Waldgesetz netto RE -0,6 Mio. BU 0 Mio. )</t>
  </si>
  <si>
    <t xml:space="preserve">vom Bund finanzierte Darlehen (LKG RE 0, BU 4,4 Mio., NRP netto RE 0,7 Mio. BU 5,0 Mio., IK Waldgesetz netto RE -0,4 Mio. BU 0,3 Mio.), vom RW ausgenommene Vorhaben (vorfinanzierter IB Bau Albulatunnel RE 8,4 Mio. BU 8,0 Mio., Sinergia RE 3,1 Mio. BU 5,0 Mio.) </t>
  </si>
  <si>
    <t>vom Bund fin. Darl. (LKG RE 0,4 Mio. BU 4,4 Mio., NRP netto RE 4,7 Mio. BU 4,9 Mio., IK Waldg. netto RE 0,3 Mio. BU 0,3 Mio.), vom RW ausgen.Vorh. (Sinergia RE 1,6 Mio. BU 6,0 Mio., JVA Cazis netto RE 4,5 Mio. BU 8,9 Mio, Erschliessungskosten Sägereiareal Domat/Ems RE 0,8 Mio. BU 0), BU umstellungsbedingt: IB priv. Mittelschulen 3,7 Mio., BIF 16,0 Mio., baul. Unterh. Liegensch. VV 6,8 Mio.</t>
  </si>
  <si>
    <t>ausgewählte Aufwandgruppen der Erfolgsrechnung Kanton Graubünden seit 1997</t>
  </si>
  <si>
    <t>ausgewählte Ertragsgruppen der Erfolgsrechnung Kanton Graubünden seit 1997</t>
  </si>
  <si>
    <r>
      <rPr>
        <vertAlign val="superscript"/>
        <sz val="10"/>
        <rFont val="Arial Narrow"/>
        <family val="2"/>
      </rPr>
      <t>1)</t>
    </r>
    <r>
      <rPr>
        <sz val="10"/>
        <rFont val="Arial Narrow"/>
        <family val="2"/>
      </rPr>
      <t xml:space="preserve"> Investitionsausgaben minus Investitionseinnahmen</t>
    </r>
  </si>
  <si>
    <r>
      <t xml:space="preserve">Budget </t>
    </r>
    <r>
      <rPr>
        <b/>
        <vertAlign val="superscript"/>
        <sz val="10"/>
        <color theme="1"/>
        <rFont val="Arial Narrow"/>
        <family val="2"/>
      </rPr>
      <t xml:space="preserve">3) </t>
    </r>
    <r>
      <rPr>
        <b/>
        <sz val="10"/>
        <color theme="1"/>
        <rFont val="Arial Narrow"/>
        <family val="2"/>
      </rPr>
      <t>(BU)</t>
    </r>
  </si>
  <si>
    <r>
      <rPr>
        <vertAlign val="superscript"/>
        <sz val="10"/>
        <rFont val="Arial Narrow"/>
        <family val="2"/>
      </rPr>
      <t>3)</t>
    </r>
    <r>
      <rPr>
        <sz val="10"/>
        <rFont val="Arial Narrow"/>
        <family val="2"/>
      </rPr>
      <t xml:space="preserve"> Budget ohne Nachtragskredite</t>
    </r>
  </si>
  <si>
    <r>
      <rPr>
        <vertAlign val="superscript"/>
        <sz val="10"/>
        <rFont val="Arial Narrow"/>
        <family val="2"/>
      </rPr>
      <t>2)</t>
    </r>
    <r>
      <rPr>
        <sz val="10"/>
        <rFont val="Arial Narrow"/>
        <family val="2"/>
      </rPr>
      <t xml:space="preserve"> bis 2012 Nettoinvestitionen bereinigt um ausserordentliche Investitionen, ab 2013 richtwertrelelevante Nettoinvestitionen</t>
    </r>
  </si>
  <si>
    <t>Bemerkungen zu nicht richtwertrelevanten Nettoinvestitionen</t>
  </si>
  <si>
    <t>3 Gesamt-aufwand</t>
  </si>
  <si>
    <t>4 Gesamt-ertrag</t>
  </si>
  <si>
    <t>5 Investitions-ausgaben</t>
  </si>
  <si>
    <t>6 Investitions-einnahmen</t>
  </si>
  <si>
    <t>2900.6200 Vermögens-stand</t>
  </si>
  <si>
    <t>20 Fremd-
kapital</t>
  </si>
  <si>
    <t>10 Finanz-vermögen</t>
  </si>
  <si>
    <t>40 Fiskal-ertrag</t>
  </si>
  <si>
    <t>(20 Fremdkapital - 10 Finanzvermögen) x 100</t>
  </si>
  <si>
    <t>40 Fiskalertrag</t>
  </si>
  <si>
    <t>340 Zins-aufwand</t>
  </si>
  <si>
    <t>440 Zins-
ertrag</t>
  </si>
  <si>
    <t>(340 Zinsaufwand - 440 Zinsertrag) x 100</t>
  </si>
  <si>
    <t>20 Fremdkapital - 10 Finanzvermögen</t>
  </si>
  <si>
    <r>
      <t>Laufender Ertrag</t>
    </r>
    <r>
      <rPr>
        <b/>
        <vertAlign val="superscript"/>
        <sz val="10"/>
        <color theme="1"/>
        <rFont val="Arial Narrow"/>
        <family val="2"/>
      </rPr>
      <t>1)</t>
    </r>
  </si>
  <si>
    <t>Durchschnittswerte (Ø) pro vierjährige Regierungsprogrammperiode (RP)</t>
  </si>
  <si>
    <t>Ø RP
 09-12</t>
  </si>
  <si>
    <t>Ø RP
 13-16</t>
  </si>
  <si>
    <t>Ø  RP 17-20</t>
  </si>
  <si>
    <r>
      <t>Gesamt-ergebnis</t>
    </r>
    <r>
      <rPr>
        <b/>
        <vertAlign val="superscript"/>
        <sz val="10"/>
        <color theme="1"/>
        <rFont val="Arial Narrow"/>
        <family val="2"/>
      </rPr>
      <t>1)</t>
    </r>
  </si>
  <si>
    <r>
      <t xml:space="preserve">Nettoinvesti-tionen I </t>
    </r>
    <r>
      <rPr>
        <b/>
        <vertAlign val="superscript"/>
        <sz val="10"/>
        <color theme="1"/>
        <rFont val="Arial Narrow"/>
        <family val="2"/>
      </rPr>
      <t>2)</t>
    </r>
  </si>
  <si>
    <r>
      <t xml:space="preserve">Nettoinvesti-tionen II </t>
    </r>
    <r>
      <rPr>
        <b/>
        <vertAlign val="superscript"/>
        <sz val="10"/>
        <color theme="1"/>
        <rFont val="Arial Narrow"/>
        <family val="2"/>
      </rPr>
      <t>3)</t>
    </r>
  </si>
  <si>
    <r>
      <t>Finanzierungs-saldo</t>
    </r>
    <r>
      <rPr>
        <b/>
        <vertAlign val="superscript"/>
        <sz val="10"/>
        <color theme="1"/>
        <rFont val="Arial Narrow"/>
        <family val="2"/>
      </rPr>
      <t>4)</t>
    </r>
  </si>
  <si>
    <r>
      <t>Selbst-finanzierung</t>
    </r>
    <r>
      <rPr>
        <b/>
        <vertAlign val="superscript"/>
        <sz val="10"/>
        <color theme="1"/>
        <rFont val="Arial Narrow"/>
        <family val="2"/>
      </rPr>
      <t>5)</t>
    </r>
  </si>
  <si>
    <r>
      <t>Selbstfinan-zierungsgrad</t>
    </r>
    <r>
      <rPr>
        <b/>
        <vertAlign val="superscript"/>
        <sz val="10"/>
        <color theme="1"/>
        <rFont val="Arial Narrow"/>
        <family val="2"/>
      </rPr>
      <t>6)</t>
    </r>
  </si>
  <si>
    <r>
      <t>Laufender Ertrag</t>
    </r>
    <r>
      <rPr>
        <b/>
        <vertAlign val="superscript"/>
        <sz val="10"/>
        <color theme="1"/>
        <rFont val="Arial Narrow"/>
        <family val="2"/>
      </rPr>
      <t>2)</t>
    </r>
  </si>
  <si>
    <r>
      <rPr>
        <vertAlign val="superscript"/>
        <sz val="10"/>
        <color theme="1"/>
        <rFont val="Arial Narrow"/>
        <family val="2"/>
      </rPr>
      <t xml:space="preserve">2) </t>
    </r>
    <r>
      <rPr>
        <sz val="10"/>
        <color theme="1"/>
        <rFont val="Arial Narrow"/>
        <family val="2"/>
      </rPr>
      <t>Der laufende Ertrag entspricht dem Ertrag (4) ohne durchlaufende Beiträge (47), Entnahmen aus dem Eigenkapital (489) und interne Verrechnungen (49).</t>
    </r>
  </si>
  <si>
    <r>
      <rPr>
        <vertAlign val="superscript"/>
        <sz val="10"/>
        <color theme="1"/>
        <rFont val="Arial Narrow"/>
        <family val="2"/>
      </rPr>
      <t xml:space="preserve">2) </t>
    </r>
    <r>
      <rPr>
        <sz val="10"/>
        <color theme="1"/>
        <rFont val="Arial Narrow"/>
        <family val="2"/>
      </rPr>
      <t>Investitionsausgaben (5) - Investitionseinnahmen (6)</t>
    </r>
  </si>
  <si>
    <r>
      <rPr>
        <vertAlign val="superscript"/>
        <sz val="10"/>
        <color theme="1"/>
        <rFont val="Arial Narrow"/>
        <family val="2"/>
      </rPr>
      <t>3)</t>
    </r>
    <r>
      <rPr>
        <sz val="10"/>
        <color theme="1"/>
        <rFont val="Arial Narrow"/>
        <family val="2"/>
      </rPr>
      <t xml:space="preserve"> bis 2012 Nettoinvestitionen bereinigt um ausserordentliche Investitionen, ab 2013 richtwertrelelevante Nettoinvestitionen, siehe Tabellenblatt "Ergebnisse Investitionsrechnung"</t>
    </r>
  </si>
  <si>
    <r>
      <rPr>
        <vertAlign val="superscript"/>
        <sz val="10"/>
        <color theme="1"/>
        <rFont val="Arial Narrow"/>
        <family val="2"/>
      </rPr>
      <t>4)</t>
    </r>
    <r>
      <rPr>
        <sz val="10"/>
        <color theme="1"/>
        <rFont val="Arial Narrow"/>
        <family val="2"/>
      </rPr>
      <t xml:space="preserve"> bis 2012 Selbstfinanzierung - Nettoinvestitionen II, ab 2013 Selbstfinanzierung - Nettoinvestitionen I</t>
    </r>
  </si>
  <si>
    <r>
      <rPr>
        <vertAlign val="superscript"/>
        <sz val="10"/>
        <color theme="1"/>
        <rFont val="Arial Narrow"/>
        <family val="2"/>
      </rPr>
      <t>6)</t>
    </r>
    <r>
      <rPr>
        <sz val="10"/>
        <color theme="1"/>
        <rFont val="Arial Narrow"/>
        <family val="2"/>
      </rPr>
      <t xml:space="preserve">  bis 2012 Selbstfinanzierung in Prozent der Nettoinvestitionen II, ab 2013 Selbstfinanzierung in Prozent der Nettoinvestitionen I.</t>
    </r>
  </si>
  <si>
    <r>
      <t>2013</t>
    </r>
    <r>
      <rPr>
        <b/>
        <vertAlign val="superscript"/>
        <sz val="10"/>
        <rFont val="Arial Narrow"/>
        <family val="2"/>
      </rPr>
      <t>3)</t>
    </r>
  </si>
  <si>
    <t>sonderfinanzierte Darlehen an ALV (RE 22,3 Mio., BU 0) und Darlehensrückzahlungen der ALV (RE 0, BU -4,1 Mio.)</t>
  </si>
  <si>
    <t>sonderfinanzierte Darlehen an ALV (RE 29,1 Mio. BU 5,9 Mio.) und Darlehensrückzahlungen der ALV (RE -8,4 Mio., BU 0)</t>
  </si>
  <si>
    <t>sonderfinanzierte Darlehen an LKG (RE 1,2 Mio., BU 0) und Darlehensrückzahlungen der ALV (RE -9,6 Mio., BU 0)</t>
  </si>
  <si>
    <t>sonderfinanzierte Darlehen an LKG (RE 6,6 Mio., BU 0) und Darlehensrückzahlungen der ALV (RE -19,0 Mio. BU -2,4 Mio.)</t>
  </si>
  <si>
    <t>bereinigt: vom Bund finanzierte Darlehen (LKG RE 0,3 Mio. BU 1,0 Mio., NRP RE 1,7 Mio. BU 3,0 Mio. ) und a.o. Gratiserwerb Beteiligung KW Zervreila (RE 6,3 Mio. BU 0). In Nettoinvest. II enthalten sind die RE-Botschaft erwähnten zusätzlichen IB von 9 Mio. an BGS, zusätzl. NFA-bedingten IB von 11,4 Mio. im Forst und Darlehen gem. GWE von 1,3 Mio.</t>
  </si>
  <si>
    <t>vom Bund finanzierte Darlehen (LKG RE 2,4 Mio. BU 4,6 Mio., NRP netto RE 5,5 Mio. BU 7,8 Mio., Waldgesetz netto RE -0,24 Mio. BU 0,15 Mio.)</t>
  </si>
  <si>
    <t xml:space="preserve">vom Bund finanzierte Darlehen (LKG RE 0,4 Mio. BU 4,4 Mio., NRP netto RE 1,2 Mio. BU 5,0 Mio., IK Waldgesetz netto RE -0,1 Mio. BU 0,2 Mio.), vom RW ausgenommene Vorhaben (Sinergia RE 0,1 Mio. BU 7,1 Mio.) </t>
  </si>
  <si>
    <t xml:space="preserve">vom Bund finanzierte Darlehen (LKG RE 0,4 Mio. BU 4,4 Mio., NRP netto RE  1,3 Mio. BU 4,7 Mio., IK Waldgesetz netto RE -0,3 Mio. BU 0,8 Mio.), vom RW ausgenommene Vorhaben (vorfinanzierter IB Bau Albulatunnel RE 3,5 Mio. BU 0, Sinergia RE 0,5 Mio. BU 2,8 Mio.) </t>
  </si>
  <si>
    <t>vom Bund finanzierte Darlehen (LKG RE -0,0 Mio. BU 0,3 Mio, NRP netto RE 0,8 Mio. BU 4,3 Mio., IK Waldgesetz netto RE -0,2 Mio. BU 0,2 Mio.), vom RW ausgenommene Vorhaben (Grundstücke, Baurechte und Erschliessungen gem. GWE netto RE -1,3 Mio. BU 1,1 Mio., VK systemrelevante Infrastrukturen RE 4,5 Mio. BU 11 Mio., Sinergia RE 12,4 Mio. BU 13,5 Mio., JVA Cazis Tignez netto RE 4,7 Mio. BU 14,5 Mio., SF Strassen RE 54,1 Mio. BU 77,0 Mio, Impulsprogramm Hochbau- und Wald  netto RE 2,3 Mio. BU 2,3 Mio.)</t>
  </si>
  <si>
    <t>RE 1997</t>
  </si>
  <si>
    <t>RE 1998</t>
  </si>
  <si>
    <t>RE 1999</t>
  </si>
  <si>
    <t>RE 2000</t>
  </si>
  <si>
    <t>RE 2001</t>
  </si>
  <si>
    <t>RE 2002</t>
  </si>
  <si>
    <t>RE 2003</t>
  </si>
  <si>
    <t>RE 2004</t>
  </si>
  <si>
    <t>RE 2005</t>
  </si>
  <si>
    <t>RE 2006</t>
  </si>
  <si>
    <t>RE 2007</t>
  </si>
  <si>
    <t>RE 2008</t>
  </si>
  <si>
    <t>RE 2009</t>
  </si>
  <si>
    <t>RE 2010</t>
  </si>
  <si>
    <t>RE 2011</t>
  </si>
  <si>
    <t>RE 2012</t>
  </si>
  <si>
    <t>RE 2013</t>
  </si>
  <si>
    <t>RE 2014</t>
  </si>
  <si>
    <t>RE 2015</t>
  </si>
  <si>
    <t>RE 2016</t>
  </si>
  <si>
    <t>RE 2017</t>
  </si>
  <si>
    <t>RE 2018</t>
  </si>
  <si>
    <t>RE 2019</t>
  </si>
  <si>
    <t>RE 2020</t>
  </si>
  <si>
    <t>BU 2022</t>
  </si>
  <si>
    <t>Selbstfinanzierung</t>
  </si>
  <si>
    <t xml:space="preserve">
Gesamt-ergebnis ER (3. Stufe)</t>
  </si>
  <si>
    <t>+
Einlagen in Fonds und SF (35)</t>
  </si>
  <si>
    <t>-
Entnahmen aus Fonds und SF (45)</t>
  </si>
  <si>
    <t>+
 Einlagen Eigenkapital (389)</t>
  </si>
  <si>
    <t>+
 buchw. a.o. Finanzaufw. (5111.3841)</t>
  </si>
  <si>
    <t>-
buchw. a.o. Finanzertrag (5111.4841)</t>
  </si>
  <si>
    <t>+
Wertberichtig. Darlehen VV (364)</t>
  </si>
  <si>
    <t>+
Abschreib. Invest.-beitr. (366)</t>
  </si>
  <si>
    <t>-
 Entn. Eigenkap. (489)</t>
  </si>
  <si>
    <t>Selbst-finanzierung*</t>
  </si>
  <si>
    <t>Gesamt-ausgaben**</t>
  </si>
  <si>
    <t>vom Bund fin. Darl. (LKG RE 0, BU 2,4 Mio., NRP netto RE 1,8 Mio., BU 7,3 Mio., IK Waldg. netto RE -0,5 Mio., BU 0,3 Mio.), vom RW ausgen. Vorh. (Sägereiareal Domat/Ems RE 3,3 Mio., BU 5,0 Mio, VK systemrelevante Infrastrukturen RE 2,6 Mio., BU 3,3 Mio., Sinergia RE 9,6 Mio., BU 9,0 Mio., JVA Cazis Tignez netto RE 17,9 Mio., BU 18,2 Mio, SF Strassen RE netto 57,0 Mio., BU 67,8 Mio, Impulsprogramm Hochbau- und Wald  netto RE 3,4 Mio, BU 3,8 Mio.)</t>
  </si>
  <si>
    <t>vom Bund fin. Darl. (LKG RE 0, BU 2,4 Mio., NRP netto RE 1,6 Mio. BU 4,6 Mio., IK Waldgesetz netto RE - 0,6 Mio. BU 0,2 Mio.), vom RW ausgenommene Vorhaben (Sägereiareal Domat/Ems RE 1,5 Mio. BU 5,5 Mio, VK systemrelevante Infrastrukturen RE 6,4 Mio. BU 6,0 Mio., Sinergia RE 15,5 Mio. BU 19,0 Mio., JVA Cazis Tignez netto RE 24,9 Mio. BU 28,9 Mio, SF Strassen RE 52,3 Mio. BU 68,3 Mio, Impulsprogramm Hochbau- und Wald netto RE 3,5 Mio BU 2,9 Mio.)</t>
  </si>
  <si>
    <t>vom Bund finanzierte Darlehen (NRP netto RE -0,5 Mio. BU 3,9 Mio., IK Waldgesetz netto RE 0 BU 0,3 Mio.), vom RW ausgenommene Vorhaben (Grundstücke, Baurechte und Erschliessungen gem. GWE netto RE 1,7 Mio. BU 2,0 Mio., VK systemrelevante Infrastrukturen RE 4,8 Mio. BU 10,0 Mio., Sinergia RE 24,0 Mio. BU 24,0 Mio., JVA Cazis Tignez netto RE 25,2 Mio. BU 23,1 Mio., SF Strassen netto RE 49,0 Mio. BU 77,5 Mio, Impulsprogramm Hochbau- und Wald  netto RE 2,4 Mio. BU 2,4 Mio.)</t>
  </si>
  <si>
    <t>Ø  RP 21-24</t>
  </si>
  <si>
    <t>Ausweis / Herleitung siehe Budgetbotschaft 2022, Seite 111</t>
  </si>
  <si>
    <t>Gesamtlohnsumme Kanton Graubünden seit 1997 und Einhaltung des finanzpolitischen Richtwerts (RW) Nr. 6 betreffend Wachstum der budgetierten Gesamtlohnsumme</t>
  </si>
  <si>
    <t>Budget 1997</t>
  </si>
  <si>
    <t>Budget 1998</t>
  </si>
  <si>
    <t>Budget 1999</t>
  </si>
  <si>
    <t>Budget 2000</t>
  </si>
  <si>
    <t>Budget 2001</t>
  </si>
  <si>
    <t>Budget 2002</t>
  </si>
  <si>
    <t>Budget 2003</t>
  </si>
  <si>
    <t>Budget 2004</t>
  </si>
  <si>
    <t>Budget 2005</t>
  </si>
  <si>
    <t>Budget 2006</t>
  </si>
  <si>
    <t>Budget 2007</t>
  </si>
  <si>
    <t>Budget 2008</t>
  </si>
  <si>
    <t>Budget 2009</t>
  </si>
  <si>
    <t>Budget 2010</t>
  </si>
  <si>
    <t>Budget 2011</t>
  </si>
  <si>
    <t>Budget 2012</t>
  </si>
  <si>
    <t>Budget 2013</t>
  </si>
  <si>
    <t>Budget 2014</t>
  </si>
  <si>
    <t>Budget 2015</t>
  </si>
  <si>
    <t>Budget 2016</t>
  </si>
  <si>
    <t>Budget 2017</t>
  </si>
  <si>
    <t>Budget 2018</t>
  </si>
  <si>
    <t>Budget 2019</t>
  </si>
  <si>
    <t>Budget 2020</t>
  </si>
  <si>
    <t>Budget 2021</t>
  </si>
  <si>
    <t>RW Personalstopp</t>
  </si>
  <si>
    <t>RW Verzicht auf kostenwirksame Stellenschaffungen</t>
  </si>
  <si>
    <t>RW max. real +1 %</t>
  </si>
  <si>
    <r>
      <t>Gesamtlohnsumme</t>
    </r>
    <r>
      <rPr>
        <sz val="7.5"/>
        <rFont val="Arial Narrow"/>
        <family val="2"/>
      </rPr>
      <t xml:space="preserve"> (301 + 302)</t>
    </r>
  </si>
  <si>
    <t>davon Gesamtlohnsumme Verwaltung (ohne Gerichte)</t>
  </si>
  <si>
    <t>---</t>
  </si>
  <si>
    <t>Wachstum der Gesamtlohnsumme (ab BU 2021 ohne Gerichte)</t>
  </si>
  <si>
    <t>Wachstum der Gesamtlohnsumme in Prozent (ab BU 2021 ohne Gerichte)</t>
  </si>
  <si>
    <t>- davon beitragsfinanzierte Stellenschaffungen Regierung  (bis BU 2012 kostenneutrale Stellenschaffungen)</t>
  </si>
  <si>
    <t>(-3 475)</t>
  </si>
  <si>
    <t>(-1 441)</t>
  </si>
  <si>
    <t>(-1 500)</t>
  </si>
  <si>
    <t>(-1 200)</t>
  </si>
  <si>
    <t>(-737)</t>
  </si>
  <si>
    <t>(-3 600)</t>
  </si>
  <si>
    <t>(-1 100)</t>
  </si>
  <si>
    <r>
      <t>+ davon wegfallende beitragsfinanzierte Stellen der Regierung</t>
    </r>
    <r>
      <rPr>
        <vertAlign val="superscript"/>
        <sz val="7.5"/>
        <rFont val="Arial Narrow"/>
        <family val="2"/>
      </rPr>
      <t>1)</t>
    </r>
  </si>
  <si>
    <t>- davon vom Grossen Rat vom Richtwert mit seperaten Beschlüssen ausgenommene Lohnsummenerhöhungen</t>
  </si>
  <si>
    <t>(-2 169)</t>
  </si>
  <si>
    <t>(-5 523)</t>
  </si>
  <si>
    <t>(-2 489)</t>
  </si>
  <si>
    <t>(-1 097)</t>
  </si>
  <si>
    <t>(-2 434)</t>
  </si>
  <si>
    <t>(-2 398)</t>
  </si>
  <si>
    <t>(-1 166)</t>
  </si>
  <si>
    <t>(-4 545)</t>
  </si>
  <si>
    <t>(-2 395)</t>
  </si>
  <si>
    <t>(-840)</t>
  </si>
  <si>
    <t>+/- davon Veränderung pauschale Korrektur Lohnaufwand (Konto 5121.301014, BU 2013 zus. Korrektur Einstiegslöhne)</t>
  </si>
  <si>
    <t>(200)</t>
  </si>
  <si>
    <t>(- 3540)</t>
  </si>
  <si>
    <t>(- 1 740)</t>
  </si>
  <si>
    <t>(- 3 720)</t>
  </si>
  <si>
    <t xml:space="preserve">   =  Wachstum der für den Richtwert Nr. 6 massgebenden Gesamtlohnsumme (ab BU 2021 ohne Gerichte)</t>
  </si>
  <si>
    <t>Wachstum der für den Richtwert Nr. 6 massgebenden Gesamtlohnsumme in Prozent  (ab BU 2021 ohne Gerichte)</t>
  </si>
  <si>
    <t>davon nicht beitragsfinanzierte Stellenschaffungen Regierung</t>
  </si>
  <si>
    <t>(1 186)</t>
  </si>
  <si>
    <t>(0)</t>
  </si>
  <si>
    <t>(2 300)</t>
  </si>
  <si>
    <t>(1 740)</t>
  </si>
  <si>
    <t>(240)</t>
  </si>
  <si>
    <t>(1 800)</t>
  </si>
  <si>
    <t>(1 200)</t>
  </si>
  <si>
    <t>davon nicht beitragsfinanzierte Stellenschaffungen Gerichte / FIKO (bis BU 2021)</t>
  </si>
  <si>
    <t>davon individuelle Lohnentwicklungen (ab BU 2021 ohne Gerichte)</t>
  </si>
  <si>
    <t>(2 570)</t>
  </si>
  <si>
    <t>(2 700)</t>
  </si>
  <si>
    <t>(2 800)</t>
  </si>
  <si>
    <t>davon diverse Einsparungen und Mutationsgewinne (ab BU 2021 ohne Gerichte)</t>
  </si>
  <si>
    <t>Definition Richtwert (RW)</t>
  </si>
  <si>
    <r>
      <t>a.o. Änderungen</t>
    </r>
    <r>
      <rPr>
        <b/>
        <vertAlign val="superscript"/>
        <sz val="7.5"/>
        <rFont val="Arial Narrow"/>
        <family val="2"/>
      </rPr>
      <t>2)</t>
    </r>
    <r>
      <rPr>
        <b/>
        <sz val="7.5"/>
        <rFont val="Arial Narrow"/>
        <family val="2"/>
      </rPr>
      <t xml:space="preserve"> / Einhaltung der Finanzplanbeschlüsse (BU 1997-2008) </t>
    </r>
    <r>
      <rPr>
        <b/>
        <sz val="7.5"/>
        <rFont val="Arial Narrow"/>
        <family val="2"/>
      </rPr>
      <t xml:space="preserve">bzw. Richtwerte (ab BU 2009), </t>
    </r>
    <r>
      <rPr>
        <sz val="7.5"/>
        <rFont val="Arial Narrow"/>
        <family val="2"/>
      </rPr>
      <t>Grün: Richtwert eingehalten, Rot: Richtwert nicht eingehalten.</t>
    </r>
  </si>
  <si>
    <r>
      <rPr>
        <b/>
        <sz val="7.5"/>
        <rFont val="Arial Narrow"/>
        <family val="2"/>
      </rPr>
      <t>Finanzplanbeschluss Nr. 7 Regierungsprogramm 1997-2000</t>
    </r>
    <r>
      <rPr>
        <sz val="7.5"/>
        <rFont val="Arial Narrow"/>
        <family val="2"/>
      </rPr>
      <t xml:space="preserve">
Der Personalstopp ist für kostenwirksame Stellenschaffungen im direkten Einflussbereich des Kantons streng zu beachten. Die Geschäftsprüfungskommission kann insbesondere für Fälle aufgrund kantonsexterner Vorgaben und neuer kantonaler Aufgaben Ausnahmen bewilligen.
(Botschaft Heft Nr. 3/1996-1997, Seite 201)</t>
    </r>
  </si>
  <si>
    <t>33 Stellen RAV mehrheitlich vom Bund finanziert, +kostenwirksame Stellenschaffungen, +Polizeischule</t>
  </si>
  <si>
    <t>weitgehend kostenneutrale Erhöhung um 3 Stellenplanstellen und zusätzliche Aushilfen für RAV und ALK</t>
  </si>
  <si>
    <r>
      <rPr>
        <b/>
        <sz val="7.5"/>
        <rFont val="Arial Narrow"/>
        <family val="2"/>
      </rPr>
      <t xml:space="preserve">Personalstopp eingehalten </t>
    </r>
    <r>
      <rPr>
        <sz val="7.5"/>
        <rFont val="Arial Narrow"/>
        <family val="2"/>
      </rPr>
      <t>(Streichung 1 Stelle)</t>
    </r>
  </si>
  <si>
    <r>
      <t xml:space="preserve">Anordnung von 2 Tagen unbezahltem Urlaub (-1,9 Mio.) / </t>
    </r>
    <r>
      <rPr>
        <b/>
        <sz val="7.5"/>
        <rFont val="Arial Narrow"/>
        <family val="2"/>
      </rPr>
      <t>Personalstopp eingehalten</t>
    </r>
    <r>
      <rPr>
        <sz val="7.5"/>
        <rFont val="Arial Narrow"/>
        <family val="2"/>
      </rPr>
      <t xml:space="preserve"> (Streichung von 2 Stellen)</t>
    </r>
  </si>
  <si>
    <r>
      <rPr>
        <b/>
        <sz val="7.5"/>
        <rFont val="Arial Narrow"/>
        <family val="2"/>
      </rPr>
      <t>Finanzplanbeschluss Nr. 7 Regierungsprogramm 2001-2004</t>
    </r>
    <r>
      <rPr>
        <sz val="7.5"/>
        <rFont val="Arial Narrow"/>
        <family val="2"/>
      </rPr>
      <t xml:space="preserve">
Der Personalstopp ist weiterzuführen. Stellen zur Bewältigung neuer Aufgaben sind in erster Linie durch interne Verschiebungen bereitzustellen.
(Botschaft Heft Nr. 1/2000-2001, Seite 115)</t>
    </r>
  </si>
  <si>
    <r>
      <rPr>
        <b/>
        <sz val="7.5"/>
        <rFont val="Arial Narrow"/>
        <family val="2"/>
      </rPr>
      <t>Personalstopp nicht vollumfänglich eingehalten (</t>
    </r>
    <r>
      <rPr>
        <sz val="7.5"/>
        <rFont val="Arial Narrow"/>
        <family val="2"/>
      </rPr>
      <t>Erhöhung um netto 3 Stellen, netto +0,4 Mio. LS kostenwirksame Stellenschaffungen)</t>
    </r>
  </si>
  <si>
    <r>
      <t xml:space="preserve">-31,097 Mio. LS Ausgliederung 400 Stellen PDGR / </t>
    </r>
    <r>
      <rPr>
        <b/>
        <sz val="7.5"/>
        <rFont val="Arial Narrow"/>
        <family val="2"/>
      </rPr>
      <t>Personalstopp nicht vollumfänglich eingehalten</t>
    </r>
    <r>
      <rPr>
        <sz val="7.5"/>
        <rFont val="Arial Narrow"/>
        <family val="2"/>
      </rPr>
      <t xml:space="preserve"> (Erhöhung um netto 10,5 Stellen (inkl. 6 bei GRiforma DS), +1 Mio. LS kostenwirksame Stellenschaffungen, +1,4 Mio. LS Polizeischule, + Erhöhungen Aushilfenkredite, +kostenwirksame Stellenumwandlungen.)</t>
    </r>
  </si>
  <si>
    <r>
      <t>-1,4 Mio. LS Ausgliederungen 14 Stellen BGS, -4,8 Mio. LS div. Einsparungen gem. Nachtrags-BU (zusätzlich zu Stellen-Verzicht) /</t>
    </r>
    <r>
      <rPr>
        <b/>
        <sz val="7.5"/>
        <rFont val="Arial Narrow"/>
        <family val="2"/>
      </rPr>
      <t xml:space="preserve"> Personalstopp nicht vollumfänglich eingehalten </t>
    </r>
    <r>
      <rPr>
        <sz val="7.5"/>
        <rFont val="Arial Narrow"/>
        <family val="2"/>
      </rPr>
      <t>(Erhöhung im BU um netto 11 Stellen (inkl. 6 bei GRiforma DS), davon aber 6 im Rahmen des Nachtrags-BU wieder gestrichen/umgelagert).</t>
    </r>
  </si>
  <si>
    <r>
      <rPr>
        <b/>
        <sz val="7.5"/>
        <rFont val="Arial Narrow"/>
        <family val="2"/>
      </rPr>
      <t xml:space="preserve">Personalstopp eingehalten </t>
    </r>
    <r>
      <rPr>
        <sz val="7.5"/>
        <rFont val="Arial Narrow"/>
        <family val="2"/>
      </rPr>
      <t>(kostenneutrale Erhöhungen um 6,5 Stellen für Sozialdienst Chur und um 5 Stellen für Steuerverwaltung, kostenneutrale Stellenschaffungen, Polizeischule, Erhöhung Aushilfekredit und Erhöhung Kinderzulagen insgesamt +3,5 Mio. LS)</t>
    </r>
  </si>
  <si>
    <r>
      <rPr>
        <b/>
        <sz val="7.5"/>
        <rFont val="Arial Narrow"/>
        <family val="2"/>
      </rPr>
      <t>Finanzplanbeschluss Nr. 7 Regierungsprogramm 2005-2008</t>
    </r>
    <r>
      <rPr>
        <sz val="7.5"/>
        <rFont val="Arial Narrow"/>
        <family val="2"/>
      </rPr>
      <t xml:space="preserve">
Der Personalstopp für kostenwirksame Stellenschaffungen ist weiterzuführen. Vorbehalten bleibt eine Ablösung der Stellenplanbewirtschaftung durch eine Steuerung der Gesamtlohnsumme. Zu beachten sind im Besonderen die Vorgaben zum Abbau der Personalstellen im Rahmen der Struktur- und Sanierungsmassnahmen des Kantons.
(Botschaft Heft Nr. 1/2004-2005, Seite 73)</t>
    </r>
  </si>
  <si>
    <r>
      <t xml:space="preserve">+1,2 Mio. LS für Lehrkräfte Aufbau und Überführung Lehrerseminar an PHGR /  </t>
    </r>
    <r>
      <rPr>
        <b/>
        <sz val="7.5"/>
        <rFont val="Arial Narrow"/>
        <family val="2"/>
      </rPr>
      <t>Personalstopp eingehalten</t>
    </r>
    <r>
      <rPr>
        <sz val="7.5"/>
        <rFont val="Arial Narrow"/>
        <family val="2"/>
      </rPr>
      <t xml:space="preserve"> (+2,7 Mio. LS für RAV und AM, mehrheitlich vom Bund finanziert, +0,8 Mio. LS für kostenneutrale Erhöhung um 9 Stellen für Schwerverkehrskontrolle, Streichung von 83,7 Stellen Auftrag Feltscher, )</t>
    </r>
  </si>
  <si>
    <r>
      <t>-18,9 Mio. LS Ausgliederung 189,9 Stellen Frauenspital Fontana und PH, -3,1 Mio. Kinderzulagen Änderung Verbuchung /</t>
    </r>
    <r>
      <rPr>
        <b/>
        <sz val="7.5"/>
        <rFont val="Arial Narrow"/>
        <family val="2"/>
      </rPr>
      <t xml:space="preserve"> Personalstopp eingehalten </t>
    </r>
    <r>
      <rPr>
        <sz val="7.5"/>
        <rFont val="Arial Narrow"/>
        <family val="2"/>
      </rPr>
      <t>(+1,4 Mio. kostenneutrale LSE, Streichung 37,05 Stellen Auftrag Feltscher mit LS-Reduktion von 4,7 Mio.)</t>
    </r>
  </si>
  <si>
    <r>
      <t xml:space="preserve">+2,6 Mio. LS Personalgesetzrevision / </t>
    </r>
    <r>
      <rPr>
        <b/>
        <sz val="7.5"/>
        <rFont val="Arial Narrow"/>
        <family val="2"/>
      </rPr>
      <t>Personalstopp nicht eingehalten</t>
    </r>
    <r>
      <rPr>
        <sz val="7.5"/>
        <rFont val="Arial Narrow"/>
        <family val="2"/>
      </rPr>
      <t xml:space="preserve"> (3,8 Mio. LSE Stellen und Aushilfen, wird mit rund 1,5 Mio. durch Dritte und vom Bund (RAV) finanziert)</t>
    </r>
  </si>
  <si>
    <r>
      <rPr>
        <b/>
        <sz val="7.5"/>
        <rFont val="Arial Narrow"/>
        <family val="2"/>
      </rPr>
      <t xml:space="preserve">Personalstopp durch Steuerung der Gesamtlohnsumme abgelöst </t>
    </r>
    <r>
      <rPr>
        <sz val="7.5"/>
        <rFont val="Arial Narrow"/>
        <family val="2"/>
      </rPr>
      <t>(Globalkredit für Stellenschaffungen 2,94 Mio., wird mit gut 1,2 Mio. durch Dritte finanziert)</t>
    </r>
  </si>
  <si>
    <r>
      <rPr>
        <b/>
        <sz val="7.5"/>
        <rFont val="Arial Narrow"/>
        <family val="2"/>
      </rPr>
      <t>Finanzpolitischer Richtwert Nr. 6 Regierungsprogramm 2009-2012</t>
    </r>
    <r>
      <rPr>
        <sz val="7.5"/>
        <rFont val="Arial Narrow"/>
        <family val="2"/>
      </rPr>
      <t xml:space="preserve">
Auf kostenwirksame Stellenschaffungen in der kantonalen Verwaltung ist grundsätzlich zu verzichten. </t>
    </r>
    <r>
      <rPr>
        <i/>
        <sz val="7.5"/>
        <rFont val="Arial Narrow"/>
        <family val="2"/>
      </rPr>
      <t xml:space="preserve">Zusätzliche personelle Ressourcen zur Bewältigung neuer Aufgaben sind durch interne Verschiebungen bereitzustellen. Ausgenommen von dieser Regelung ist eine allenfalls nach Vorliegen des Polizeiberichts vorgenommene Erhöhung des Personalbestandes bei der Kantonspolizei. Vorbehalten bleiben zudem Personalanpassungen im Rahmen der Bündner NFA. </t>
    </r>
    <r>
      <rPr>
        <sz val="7.5"/>
        <rFont val="Arial Narrow"/>
        <family val="2"/>
      </rPr>
      <t xml:space="preserve">(Botschaft Heft Nr. 13/2007-2008, Seite </t>
    </r>
    <r>
      <rPr>
        <i/>
        <sz val="7.5"/>
        <rFont val="Arial Narrow"/>
        <family val="2"/>
      </rPr>
      <t xml:space="preserve">759 </t>
    </r>
    <r>
      <rPr>
        <sz val="7.5"/>
        <rFont val="Arial Narrow"/>
        <family val="2"/>
      </rPr>
      <t>und 776)</t>
    </r>
  </si>
  <si>
    <r>
      <t xml:space="preserve">+3,6 Mio. Reallohnerhöhung / </t>
    </r>
    <r>
      <rPr>
        <b/>
        <sz val="7.5"/>
        <rFont val="Arial Narrow"/>
        <family val="2"/>
      </rPr>
      <t>Verzicht auf kostenwirksame Stellenschaffungen nicht eingehalten</t>
    </r>
    <r>
      <rPr>
        <sz val="7.5"/>
        <rFont val="Arial Narrow"/>
        <family val="2"/>
      </rPr>
      <t xml:space="preserve"> (Globalkredit für Stellenschaffungen 0,977 Mio., wird mit 0,24 Mio. durch Dritte finanziert, 4 kostenwirksame Stellenumwandlungen)</t>
    </r>
  </si>
  <si>
    <r>
      <t xml:space="preserve">+1,2 Mio. Reallohnerhöhung / </t>
    </r>
    <r>
      <rPr>
        <b/>
        <sz val="7.5"/>
        <rFont val="Arial Narrow"/>
        <family val="2"/>
      </rPr>
      <t>Verzicht auf kostenwirksame Stellenschaffungen nicht eingehalten</t>
    </r>
    <r>
      <rPr>
        <sz val="7.5"/>
        <rFont val="Arial Narrow"/>
        <family val="2"/>
      </rPr>
      <t xml:space="preserve"> (+5,4 Mio. LS für 51,45 neue Stellen die zu rund 2/3 durch Einnahmen von Dritten oder durch Minderaufwand finanziert werden)</t>
    </r>
  </si>
  <si>
    <r>
      <rPr>
        <b/>
        <sz val="7.5"/>
        <rFont val="Arial Narrow"/>
        <family val="2"/>
      </rPr>
      <t>Verzicht auf kostenwirksame Stellenschaffungen nicht eingehalten</t>
    </r>
    <r>
      <rPr>
        <sz val="7.5"/>
        <rFont val="Arial Narrow"/>
        <family val="2"/>
      </rPr>
      <t xml:space="preserve"> (+2,7 Mio. LS für 28,8 neue Stellen wovon 1,5 Mio. durch Einnahmen von Dritten oder durch Minderaufwand finanziert werden)</t>
    </r>
  </si>
  <si>
    <r>
      <rPr>
        <b/>
        <sz val="7.5"/>
        <rFont val="Arial Narrow"/>
        <family val="2"/>
      </rPr>
      <t xml:space="preserve">Verzicht auf kostenwirksame Stellenschaffungen eingehalten </t>
    </r>
    <r>
      <rPr>
        <sz val="7.5"/>
        <rFont val="Arial Narrow"/>
        <family val="2"/>
      </rPr>
      <t>(+1,1 Mio. LS für 11,4 Stellen durch Einnahmen von Dritten oder durch Minderaufwendungen finanziert)</t>
    </r>
  </si>
  <si>
    <r>
      <rPr>
        <b/>
        <sz val="7.5"/>
        <rFont val="Arial Narrow"/>
        <family val="2"/>
      </rPr>
      <t>Finanzpolitischer Richtwert Nr. 6 Regierungsprogramm 2013-2016</t>
    </r>
    <r>
      <rPr>
        <sz val="7.5"/>
        <rFont val="Arial Narrow"/>
        <family val="2"/>
      </rPr>
      <t xml:space="preserve">
Die budgetierte Gesamtlohnsumme darf pro Jahr real um höchstens 1,0 Prozent zunehmen. Zur Finanzierung zusätzlicher personeller Ressourcen sind jährlich mindestens 0,5 Prozent der Gesamtlohnsumme bereitzustellen. Vorbehalten bleiben befristet eingesetzte Personalressourcen, die vollständig durch Beiträge Dritter finanziert werden.
(Botschaft Heft Nr. 11/2011-2012, Seite 1322)</t>
    </r>
  </si>
  <si>
    <r>
      <rPr>
        <b/>
        <sz val="7.5"/>
        <rFont val="Arial Narrow"/>
        <family val="2"/>
      </rPr>
      <t>Zunahme budgetierte Gesamtlohnsumme real max. +1  % eingehalten</t>
    </r>
    <r>
      <rPr>
        <sz val="7.5"/>
        <rFont val="Arial Narrow"/>
        <family val="2"/>
      </rPr>
      <t xml:space="preserve"> (-0,65 %, Vorbehalt durch Umstellung HRM1 auf HRM2, 4,459 Mio. LSE für 38,5 Stellen KESB im Rahmen der Umsetzung des Kindes- und Erwachsenschutzrechts vom RW ausgenommen) </t>
    </r>
  </si>
  <si>
    <r>
      <rPr>
        <b/>
        <sz val="7.5"/>
        <rFont val="Arial Narrow"/>
        <family val="2"/>
      </rPr>
      <t>Zunahme budgetierte Gesamtlohnsumme real max. +1 % eingehalten</t>
    </r>
    <r>
      <rPr>
        <sz val="7.5"/>
        <rFont val="Arial Narrow"/>
        <family val="2"/>
      </rPr>
      <t xml:space="preserve"> (+0,42 %)</t>
    </r>
  </si>
  <si>
    <r>
      <rPr>
        <b/>
        <sz val="7.5"/>
        <rFont val="Arial Narrow"/>
        <family val="2"/>
      </rPr>
      <t>Zunahme budgetierte Gesamtlohnsumme real max. +1 % eingehalten</t>
    </r>
    <r>
      <rPr>
        <sz val="7.5"/>
        <rFont val="Arial Narrow"/>
        <family val="2"/>
      </rPr>
      <t xml:space="preserve"> (+0,97 %)</t>
    </r>
  </si>
  <si>
    <r>
      <rPr>
        <b/>
        <sz val="7.5"/>
        <rFont val="Arial Narrow"/>
        <family val="2"/>
      </rPr>
      <t xml:space="preserve">Zunahme budgetierte Gesamtlohnsumme real max. +1 % eingehalten </t>
    </r>
    <r>
      <rPr>
        <sz val="7.5"/>
        <rFont val="Arial Narrow"/>
        <family val="2"/>
      </rPr>
      <t>(+0,74 %</t>
    </r>
    <r>
      <rPr>
        <vertAlign val="superscript"/>
        <sz val="7.5"/>
        <rFont val="Arial Narrow"/>
        <family val="2"/>
      </rPr>
      <t>1)</t>
    </r>
    <r>
      <rPr>
        <sz val="7.5"/>
        <rFont val="Arial Narrow"/>
        <family val="2"/>
      </rPr>
      <t xml:space="preserve"> , 0,5 Mio. LSE KAPO im Rahmen des Polizeiberichts vom RW ausgenommen)</t>
    </r>
  </si>
  <si>
    <r>
      <rPr>
        <b/>
        <sz val="7.5"/>
        <rFont val="Arial Narrow"/>
        <family val="2"/>
      </rPr>
      <t>Finanzpolitischer Richtwert Nr. 6 Regierungsprogramm 2017-2020</t>
    </r>
    <r>
      <rPr>
        <sz val="7.5"/>
        <rFont val="Arial Narrow"/>
        <family val="2"/>
      </rPr>
      <t xml:space="preserve">
Die budgetierte Gesamtlohnsumme darf real um höchstens 1,0 Prozent zunehmen. Davon ausgenommen sind Personalressourcen, soweit sie vollständig durch Beiträge Dritter finanziert werden.
(Botschaft Heft Nr. 12/2015-2016, Seite 887)</t>
    </r>
  </si>
  <si>
    <r>
      <rPr>
        <b/>
        <sz val="7.5"/>
        <rFont val="Arial Narrow"/>
        <family val="2"/>
      </rPr>
      <t xml:space="preserve">Zunahme budgetierte Gesamtlohnsumme real max. +1 % eingehalten </t>
    </r>
    <r>
      <rPr>
        <sz val="7.5"/>
        <rFont val="Arial Narrow"/>
        <family val="2"/>
      </rPr>
      <t>(+0,82 %, 4,382 Mio. LSE im Rahmen der Gebietsreform für die Überführung der Regionalgerichte vom RW ausgenommen)</t>
    </r>
  </si>
  <si>
    <r>
      <rPr>
        <b/>
        <sz val="7.5"/>
        <rFont val="Arial Narrow"/>
        <family val="2"/>
      </rPr>
      <t>Zunahme budgetierte Gesamtlohnsumme real max. +1 % eingehalten</t>
    </r>
    <r>
      <rPr>
        <sz val="7.5"/>
        <rFont val="Arial Narrow"/>
        <family val="2"/>
      </rPr>
      <t xml:space="preserve"> (+0,96 %)</t>
    </r>
  </si>
  <si>
    <r>
      <rPr>
        <b/>
        <sz val="7.5"/>
        <rFont val="Arial Narrow"/>
        <family val="2"/>
      </rPr>
      <t>Zunahme budgetierte Gesamtlohnsumme real max. +1 % eingehalten</t>
    </r>
    <r>
      <rPr>
        <sz val="7.5"/>
        <rFont val="Arial Narrow"/>
        <family val="2"/>
      </rPr>
      <t xml:space="preserve"> (+0,57 %. Gem. Budgetbotschaft um engere Budgetierung der Lehrerlöhne BKS bereinigt +0,89 %. 3,978 Mio. LSE für JVA Cazis Tignez vom RW ausgenommen)</t>
    </r>
  </si>
  <si>
    <r>
      <rPr>
        <b/>
        <sz val="7.5"/>
        <rFont val="Arial Narrow"/>
        <family val="2"/>
      </rPr>
      <t>Zunahme budgetierte Gesamtlohnsumme real max. +1 % eingehalten</t>
    </r>
    <r>
      <rPr>
        <sz val="7.5"/>
        <rFont val="Arial Narrow"/>
        <family val="2"/>
      </rPr>
      <t xml:space="preserve"> (+0,93 %</t>
    </r>
    <r>
      <rPr>
        <vertAlign val="superscript"/>
        <sz val="7.5"/>
        <rFont val="Arial Narrow"/>
        <family val="2"/>
      </rPr>
      <t>1)</t>
    </r>
    <r>
      <rPr>
        <sz val="7.5"/>
        <rFont val="Arial Narrow"/>
        <family val="2"/>
      </rPr>
      <t>. Netto 3,294 Mio. LSE für JVA Cazis Tignez vom RW ausgenommen)</t>
    </r>
  </si>
  <si>
    <r>
      <rPr>
        <b/>
        <sz val="7.5"/>
        <rFont val="Arial Narrow"/>
        <family val="2"/>
      </rPr>
      <t>Finanzpolitischer Richtwert Nr. 6 Regierungsprogramm 2021-2024</t>
    </r>
    <r>
      <rPr>
        <sz val="7.5"/>
        <rFont val="Arial Narrow"/>
        <family val="2"/>
      </rPr>
      <t xml:space="preserve">
Die budgetierte Gesamtlohnsumme der kantonalen Verwaltung darf im Jahresdurchschnitt real um höchstens 1,0 Prozent zunehmen. Davon ausgenommen sind Personalressourcen, soweit die Kosten durch Beiträge Dritter finanziert werden. Der Grosse Rat kann Ausnahmen beschliessen.
(Botschaft Heft Nr. 8/2019-2020, Seite 519)</t>
    </r>
  </si>
  <si>
    <r>
      <rPr>
        <vertAlign val="superscript"/>
        <sz val="7.5"/>
        <rFont val="Arial Narrow"/>
        <family val="2"/>
      </rPr>
      <t>1)</t>
    </r>
    <r>
      <rPr>
        <sz val="7.5"/>
        <rFont val="Arial Narrow"/>
        <family val="2"/>
      </rPr>
      <t xml:space="preserve"> korrigiert um wegfallende beitragsfinanzierte LS (BU 2016 0,15 Mio. Plantahof und KAPO, BU 2020 0,12 Mio. KAPO und AWN)</t>
    </r>
  </si>
  <si>
    <r>
      <t>2)</t>
    </r>
    <r>
      <rPr>
        <sz val="7.5"/>
        <rFont val="Arial Narrow"/>
        <family val="2"/>
      </rPr>
      <t xml:space="preserve"> In den Budgetbotschaften vor 2007 werden nur die wesentlichen Änderungen des Personalaufwands inkl. Sozialkosten ausgewiesen. Die Lohnsummenerhöhungen (LSE) wird bis 2007 wie folgt ermittelt: Personalaufwand = 118 %, LS = 100 %.</t>
    </r>
  </si>
  <si>
    <r>
      <t xml:space="preserve">RW max. real +1 % im Jahres - </t>
    </r>
    <r>
      <rPr>
        <sz val="7.5"/>
        <color theme="1"/>
        <rFont val="Symbol"/>
        <family val="1"/>
        <charset val="2"/>
      </rPr>
      <t>Æ</t>
    </r>
  </si>
  <si>
    <r>
      <rPr>
        <b/>
        <sz val="7.5"/>
        <rFont val="Symbol"/>
        <family val="1"/>
        <charset val="2"/>
      </rPr>
      <t>Æ</t>
    </r>
    <r>
      <rPr>
        <b/>
        <sz val="11.25"/>
        <rFont val="Arial Narrow"/>
        <family val="2"/>
      </rPr>
      <t xml:space="preserve"> </t>
    </r>
    <r>
      <rPr>
        <b/>
        <sz val="7.5"/>
        <rFont val="Arial Narrow"/>
        <family val="2"/>
      </rPr>
      <t>Wachstum der für den Richtwert Nr. 6 massgebenden Gesamtlohnsumme in Prozent  (ab BU 2021 ohne Gerichte)</t>
    </r>
  </si>
  <si>
    <t>davon Veränderung Lohnsumme für Bündner Polizeiaspirant/-innen an den Polizeischulen Amriswil und Giubiasco</t>
  </si>
  <si>
    <t>(in Mio. Franken. Mit Blick auf den finanzpolitischen Richtwert Nr. 1 betreffend budgetiertem Aufwandüberschuss)</t>
  </si>
  <si>
    <t>(in Mio. Franken, Mit Blick auf den finanzpolitischen Richtwert Nr. 2 betreffend budgetierte Nettoinvestitionen)</t>
  </si>
  <si>
    <r>
      <t>in % der Gesamt-ausgaben</t>
    </r>
    <r>
      <rPr>
        <b/>
        <vertAlign val="superscript"/>
        <sz val="10"/>
        <color theme="1"/>
        <rFont val="Arial Narrow"/>
        <family val="2"/>
      </rPr>
      <t>4)</t>
    </r>
  </si>
  <si>
    <t>RE</t>
  </si>
  <si>
    <r>
      <t>Gesamt-ausgaben</t>
    </r>
    <r>
      <rPr>
        <b/>
        <vertAlign val="superscript"/>
        <sz val="10"/>
        <color theme="1"/>
        <rFont val="Arial Narrow"/>
        <family val="2"/>
      </rPr>
      <t>4)</t>
    </r>
  </si>
  <si>
    <t>- 
Ertragsant. Zuschl.St. (5315.360)</t>
  </si>
  <si>
    <t>+
Aufwand
ER
 (3)</t>
  </si>
  <si>
    <t>-
Wertbericht. Forderungen (3180)</t>
  </si>
  <si>
    <t>- 
Abschreib.
VV
 (33)</t>
  </si>
  <si>
    <t>- 
Wertbericht.
Anlagen FV
 (344)</t>
  </si>
  <si>
    <t>-
Wertbericht. Darl. + Bet. VV
(364, 365)</t>
  </si>
  <si>
    <t>- 
Abschreib. Invest. Beitr.
(366)</t>
  </si>
  <si>
    <t>-
Durchlauf. Beiträge
(37)</t>
  </si>
  <si>
    <t>-
interne Verrechnungen
(39)</t>
  </si>
  <si>
    <t xml:space="preserve">=
Laufende Ausgaben
</t>
  </si>
  <si>
    <t xml:space="preserve">=
Brutto-investitionen
</t>
  </si>
  <si>
    <t>+ Ausgaben IR 
(5)</t>
  </si>
  <si>
    <t>-
Durchl. Invest.Beitr.
(57)</t>
  </si>
  <si>
    <t>+ Laufende Ausgaben</t>
  </si>
  <si>
    <t>+ Bruttoinvestitionen</t>
  </si>
  <si>
    <t>+
Abschreibung VV
 (33)</t>
  </si>
  <si>
    <t>-
Einlagen in 
Fonds u. SF
(35)</t>
  </si>
  <si>
    <t>-
buchw. a.o. Finanzaufw.
(5111.3841)</t>
  </si>
  <si>
    <t>-
Einlagen Eigenkapital (389)</t>
  </si>
  <si>
    <t>=</t>
  </si>
  <si>
    <t xml:space="preserve">
Gesamt-ausgaben</t>
  </si>
  <si>
    <r>
      <rPr>
        <vertAlign val="superscript"/>
        <sz val="10"/>
        <rFont val="Arial Narrow"/>
        <family val="2"/>
      </rPr>
      <t xml:space="preserve">4)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</si>
  <si>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rFont val="Arial Narrow"/>
        <family val="2"/>
      </rPr>
      <t xml:space="preserve">7)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</si>
  <si>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color theme="1"/>
        <rFont val="Arial Narrow"/>
        <family val="2"/>
      </rPr>
      <t>8)</t>
    </r>
    <r>
      <rPr>
        <sz val="10"/>
        <color theme="1"/>
        <rFont val="Arial Narrow"/>
        <family val="2"/>
      </rPr>
      <t xml:space="preserve"> Laufende Verbindlichkeiten (200) + Kurzfristige Finanzverbindlichkeiten (201) - Kurzfristige derivative Finanzinstrumente (2016) + Langfristige Finanzverbindlichkeiten (206) - Langfristige derivative Finanzinstrumente (2066) </t>
    </r>
  </si>
  <si>
    <r>
      <rPr>
        <vertAlign val="superscript"/>
        <sz val="10"/>
        <color theme="1"/>
        <rFont val="Arial Narrow"/>
        <family val="2"/>
      </rPr>
      <t>9)</t>
    </r>
    <r>
      <rPr>
        <sz val="10"/>
        <color theme="1"/>
        <rFont val="Arial Narrow"/>
        <family val="2"/>
      </rPr>
      <t xml:space="preserve"> Fremdkapital (20) - Finanzvermögen (10)</t>
    </r>
  </si>
  <si>
    <r>
      <t>Gesamt-ausgaben</t>
    </r>
    <r>
      <rPr>
        <b/>
        <vertAlign val="superscript"/>
        <sz val="10"/>
        <color theme="1"/>
        <rFont val="Arial Narrow"/>
        <family val="2"/>
      </rPr>
      <t>7)</t>
    </r>
  </si>
  <si>
    <r>
      <t>Brutto-schulden</t>
    </r>
    <r>
      <rPr>
        <b/>
        <vertAlign val="superscript"/>
        <sz val="10"/>
        <color theme="1"/>
        <rFont val="Arial Narrow"/>
        <family val="2"/>
      </rPr>
      <t>8)</t>
    </r>
  </si>
  <si>
    <r>
      <t xml:space="preserve">Netto-schulden I </t>
    </r>
    <r>
      <rPr>
        <b/>
        <vertAlign val="superscript"/>
        <sz val="10"/>
        <color theme="1"/>
        <rFont val="Arial Narrow"/>
        <family val="2"/>
      </rPr>
      <t>9)</t>
    </r>
  </si>
  <si>
    <r>
      <t xml:space="preserve">Netto-schulden II </t>
    </r>
    <r>
      <rPr>
        <b/>
        <vertAlign val="superscript"/>
        <sz val="10"/>
        <color theme="1"/>
        <rFont val="Arial Narrow"/>
        <family val="2"/>
      </rPr>
      <t>10)</t>
    </r>
  </si>
  <si>
    <r>
      <t>29 Gesamt-Eigenkapital</t>
    </r>
    <r>
      <rPr>
        <b/>
        <vertAlign val="superscript"/>
        <sz val="10"/>
        <color theme="1"/>
        <rFont val="Arial Narrow"/>
        <family val="2"/>
      </rPr>
      <t>11)</t>
    </r>
  </si>
  <si>
    <t>(RE = Rechnung, BU= Budget, in Mio. Franken)</t>
  </si>
  <si>
    <r>
      <t xml:space="preserve">1) </t>
    </r>
    <r>
      <rPr>
        <sz val="10"/>
        <color theme="1"/>
        <rFont val="Arial Narrow"/>
        <family val="2"/>
      </rPr>
      <t>Gesamtertrag (4) - Gesamtaufwand (3); Gesamtergebnis Erfolgsrechnung; ab 2013 Ergebnis 3. Stufe; bis 2012 Gesamtergebnis inklusive ausserordentlichem Aufwand und Ertrag</t>
    </r>
  </si>
  <si>
    <t>(RE = Rechnung, BU= Budget, in Mio. Franken, Spaltenbezeichnungen gemäss HRM2-Terminologie)</t>
  </si>
  <si>
    <r>
      <t>RE 2013</t>
    </r>
    <r>
      <rPr>
        <b/>
        <vertAlign val="superscript"/>
        <sz val="10"/>
        <color theme="1"/>
        <rFont val="Arial Narrow"/>
        <family val="2"/>
      </rPr>
      <t>1)</t>
    </r>
  </si>
  <si>
    <t>(in Mio. Franken, Spaltenbezeichnungen gemäss HRM2-Terminologie)</t>
  </si>
  <si>
    <r>
      <rPr>
        <vertAlign val="superscript"/>
        <sz val="10"/>
        <color theme="1"/>
        <rFont val="Arial Narrow"/>
        <family val="2"/>
      </rPr>
      <t xml:space="preserve">1) </t>
    </r>
    <r>
      <rPr>
        <sz val="10"/>
        <color theme="1"/>
        <rFont val="Arial Narrow"/>
        <family val="2"/>
      </rPr>
      <t xml:space="preserve">ab 2013 HRM2-Berechnung. 1997-2012 ohne HRM2-Restatement (Umgliederungen/Kontoverschiebungen). </t>
    </r>
  </si>
  <si>
    <r>
      <rPr>
        <vertAlign val="superscript"/>
        <sz val="10"/>
        <color theme="1"/>
        <rFont val="Arial Narrow"/>
        <family val="2"/>
      </rPr>
      <t>3)</t>
    </r>
    <r>
      <rPr>
        <sz val="10"/>
        <color theme="1"/>
        <rFont val="Arial Narrow"/>
        <family val="2"/>
      </rPr>
      <t xml:space="preserve"> 360: Ertragsanteile an Dritte, 361: Entschädigungen an öffentliche Gemeinwesen, 369: Übriger Transferaufwand</t>
    </r>
  </si>
  <si>
    <r>
      <rPr>
        <vertAlign val="superscript"/>
        <sz val="10"/>
        <color theme="1"/>
        <rFont val="Arial Narrow"/>
        <family val="2"/>
      </rPr>
      <t>4)</t>
    </r>
    <r>
      <rPr>
        <sz val="10"/>
        <color theme="1"/>
        <rFont val="Arial Narrow"/>
        <family val="2"/>
      </rPr>
      <t xml:space="preserve"> 362: Finanz- und Lastenausgleich</t>
    </r>
  </si>
  <si>
    <r>
      <rPr>
        <vertAlign val="superscript"/>
        <sz val="10"/>
        <color theme="1"/>
        <rFont val="Arial Narrow"/>
        <family val="2"/>
      </rPr>
      <t>5)</t>
    </r>
    <r>
      <rPr>
        <sz val="10"/>
        <color theme="1"/>
        <rFont val="Arial Narrow"/>
        <family val="2"/>
      </rPr>
      <t xml:space="preserve"> 363: Beiträge an öffentliche Gemeinwesen und Dritte (HRM1: 36: Eigene Beiträge)</t>
    </r>
  </si>
  <si>
    <r>
      <rPr>
        <vertAlign val="superscript"/>
        <sz val="10"/>
        <color theme="1"/>
        <rFont val="Arial Narrow"/>
        <family val="2"/>
      </rPr>
      <t>6)</t>
    </r>
    <r>
      <rPr>
        <sz val="10"/>
        <color theme="1"/>
        <rFont val="Arial Narrow"/>
        <family val="2"/>
      </rPr>
      <t xml:space="preserve"> 364: Wertberichtigungen Darlehen VV, 366: Abschreibungen Investitionsbeiträge</t>
    </r>
  </si>
  <si>
    <r>
      <rPr>
        <vertAlign val="superscript"/>
        <sz val="10"/>
        <color theme="1"/>
        <rFont val="Arial Narrow"/>
        <family val="2"/>
      </rPr>
      <t xml:space="preserve">1) </t>
    </r>
    <r>
      <rPr>
        <sz val="10"/>
        <color theme="1"/>
        <rFont val="Arial Narrow"/>
        <family val="2"/>
      </rPr>
      <t>ab 2013 HRM2-Berechnung. 1997-2012 ohne HRM2-Restatement (Umgliederungen/Kontoverschiebungen).</t>
    </r>
  </si>
  <si>
    <r>
      <rPr>
        <vertAlign val="superscript"/>
        <sz val="10"/>
        <color theme="1"/>
        <rFont val="Arial Narrow"/>
        <family val="2"/>
      </rPr>
      <t>2)</t>
    </r>
    <r>
      <rPr>
        <sz val="10"/>
        <color theme="1"/>
        <rFont val="Arial Narrow"/>
        <family val="2"/>
      </rPr>
      <t xml:space="preserve"> Transferertrag 1997-2012: 44 Anteile und Beiträge ohne Zweckbindung, 45 Rückerstatttungen von Gemeinwesen, 46 Beiträge für eigene Rechnung.</t>
    </r>
  </si>
  <si>
    <r>
      <t>3 + 5
 Gesamt-ausgaben</t>
    </r>
    <r>
      <rPr>
        <b/>
        <vertAlign val="superscript"/>
        <sz val="10"/>
        <color theme="1"/>
        <rFont val="Arial Narrow"/>
        <family val="2"/>
      </rPr>
      <t>1)</t>
    </r>
  </si>
  <si>
    <r>
      <t>4 + 6
 Gesamt-einnahmen</t>
    </r>
    <r>
      <rPr>
        <b/>
        <vertAlign val="superscript"/>
        <sz val="10"/>
        <color theme="1"/>
        <rFont val="Arial Narrow"/>
        <family val="2"/>
      </rPr>
      <t>2)</t>
    </r>
  </si>
  <si>
    <r>
      <t>Ergebnis</t>
    </r>
    <r>
      <rPr>
        <b/>
        <vertAlign val="superscript"/>
        <sz val="10"/>
        <color theme="1"/>
        <rFont val="Arial Narrow"/>
        <family val="2"/>
      </rPr>
      <t>4)</t>
    </r>
  </si>
  <si>
    <r>
      <t>2005</t>
    </r>
    <r>
      <rPr>
        <b/>
        <vertAlign val="superscript"/>
        <sz val="10"/>
        <color theme="1"/>
        <rFont val="Arial Narrow"/>
        <family val="2"/>
      </rPr>
      <t xml:space="preserve"> 5)</t>
    </r>
  </si>
  <si>
    <r>
      <t>2012</t>
    </r>
    <r>
      <rPr>
        <b/>
        <vertAlign val="superscript"/>
        <sz val="10"/>
        <color theme="1"/>
        <rFont val="Arial Narrow"/>
        <family val="2"/>
      </rPr>
      <t>6)</t>
    </r>
  </si>
  <si>
    <r>
      <t>2016</t>
    </r>
    <r>
      <rPr>
        <b/>
        <vertAlign val="superscript"/>
        <sz val="10"/>
        <color theme="1"/>
        <rFont val="Arial Narrow"/>
        <family val="2"/>
      </rPr>
      <t>7)</t>
    </r>
  </si>
  <si>
    <r>
      <rPr>
        <vertAlign val="superscript"/>
        <sz val="10"/>
        <color theme="1"/>
        <rFont val="Arial Narrow"/>
        <family val="2"/>
      </rPr>
      <t xml:space="preserve">3) </t>
    </r>
    <r>
      <rPr>
        <sz val="10"/>
        <color theme="1"/>
        <rFont val="Arial Narrow"/>
        <family val="2"/>
      </rPr>
      <t>Budget ohne Nachtragskredite</t>
    </r>
  </si>
  <si>
    <r>
      <rPr>
        <vertAlign val="superscript"/>
        <sz val="10"/>
        <color theme="1"/>
        <rFont val="Arial Narrow"/>
        <family val="2"/>
      </rPr>
      <t>5)</t>
    </r>
    <r>
      <rPr>
        <sz val="10"/>
        <color theme="1"/>
        <rFont val="Arial Narrow"/>
        <family val="2"/>
      </rPr>
      <t xml:space="preserve"> Gesamteinnahmen exkl. a.o.Einlage von 85 Mio. Franken im Zusammenhang mit Erlösanteil aus Verkauf Goldreserve der SNB</t>
    </r>
  </si>
  <si>
    <r>
      <rPr>
        <vertAlign val="superscript"/>
        <sz val="10"/>
        <color theme="1"/>
        <rFont val="Arial Narrow"/>
        <family val="2"/>
      </rPr>
      <t>6)</t>
    </r>
    <r>
      <rPr>
        <sz val="10"/>
        <color theme="1"/>
        <rFont val="Arial Narrow"/>
        <family val="2"/>
      </rPr>
      <t xml:space="preserve"> Vermögensstand gemäss HRM2-Eröffnungsbilanz per 1. Januar 2013 (siehe Budgetbotschaft 2014, Seite 256)</t>
    </r>
  </si>
  <si>
    <r>
      <rPr>
        <vertAlign val="superscript"/>
        <sz val="10"/>
        <color theme="1"/>
        <rFont val="Arial Narrow"/>
        <family val="2"/>
      </rPr>
      <t>7)</t>
    </r>
    <r>
      <rPr>
        <sz val="10"/>
        <color theme="1"/>
        <rFont val="Arial Narrow"/>
        <family val="2"/>
      </rPr>
      <t xml:space="preserve"> Seit 2016 gesetzliche Begrenzung Guthaben Spezialfinanzierung Strassen auf max. 100 Mio. Franken. Per 1. Januar 2016 wurden Beitragsrückstellungen von 4,1 Millionen aufgelöst und dem Vermögen zugeschlagen. </t>
    </r>
  </si>
  <si>
    <t>Jahresrechnung</t>
  </si>
  <si>
    <r>
      <t>Budget</t>
    </r>
    <r>
      <rPr>
        <b/>
        <vertAlign val="superscript"/>
        <sz val="10"/>
        <color theme="1"/>
        <rFont val="Arial Narrow"/>
        <family val="2"/>
      </rPr>
      <t>3)</t>
    </r>
  </si>
  <si>
    <r>
      <rPr>
        <vertAlign val="superscript"/>
        <sz val="10"/>
        <color theme="1"/>
        <rFont val="Arial Narrow"/>
        <family val="2"/>
      </rPr>
      <t>1)</t>
    </r>
    <r>
      <rPr>
        <sz val="10"/>
        <color theme="1"/>
        <rFont val="Arial Narrow"/>
        <family val="2"/>
      </rPr>
      <t xml:space="preserve"> ohne Abschreibungen und ohne durchlaufende Beiträge, inklusive interne Verrechnungen.</t>
    </r>
  </si>
  <si>
    <r>
      <rPr>
        <vertAlign val="superscript"/>
        <sz val="10"/>
        <color theme="1"/>
        <rFont val="Arial Narrow"/>
        <family val="2"/>
      </rPr>
      <t xml:space="preserve">2) </t>
    </r>
    <r>
      <rPr>
        <sz val="10"/>
        <color theme="1"/>
        <rFont val="Arial Narrow"/>
        <family val="2"/>
      </rPr>
      <t>ohne durchlaufende Beiträge, inklusive interne Verrechnungen.</t>
    </r>
  </si>
  <si>
    <t>Nettoschuld</t>
  </si>
  <si>
    <t>* Die Selbstfinanzierung berechnet sie wie folgt:</t>
  </si>
  <si>
    <t xml:space="preserve">=
Selbst-finanzierung
</t>
  </si>
  <si>
    <t>Staatsquote</t>
  </si>
  <si>
    <r>
      <t>Gesamt-ergebnis</t>
    </r>
    <r>
      <rPr>
        <b/>
        <vertAlign val="superscript"/>
        <sz val="10"/>
        <color theme="1"/>
        <rFont val="Arial Narrow"/>
        <family val="2"/>
      </rPr>
      <t xml:space="preserve">5) </t>
    </r>
    <r>
      <rPr>
        <b/>
        <sz val="10"/>
        <color theme="1"/>
        <rFont val="Arial Narrow"/>
        <family val="2"/>
      </rPr>
      <t>(3. Stufe)</t>
    </r>
  </si>
  <si>
    <r>
      <t>operatives Ergebnis</t>
    </r>
    <r>
      <rPr>
        <b/>
        <vertAlign val="superscript"/>
        <sz val="10"/>
        <color theme="1"/>
        <rFont val="Arial Narrow"/>
        <family val="2"/>
      </rPr>
      <t xml:space="preserve">1) </t>
    </r>
    <r>
      <rPr>
        <b/>
        <sz val="10"/>
        <color theme="1"/>
        <rFont val="Arial Narrow"/>
        <family val="2"/>
      </rPr>
      <t xml:space="preserve">
(1. Stufe)</t>
    </r>
  </si>
  <si>
    <r>
      <t>RE - BU operatives Ergebnis</t>
    </r>
    <r>
      <rPr>
        <b/>
        <vertAlign val="superscript"/>
        <sz val="10"/>
        <color theme="1"/>
        <rFont val="Arial Narrow"/>
        <family val="2"/>
      </rPr>
      <t>1)</t>
    </r>
  </si>
  <si>
    <t xml:space="preserve">Mittelverwendung für innovative Projekte (-14,4 Mio., BU -9,9 Mio.), Verzicht auf pauschale Korrektur Personalkredite (BU -5,7 Mio.),  Periodengerechte Abgrenzung GKB (BU -57,2 Mio.). </t>
  </si>
  <si>
    <t>Enthält Mittelverwendung für innovative Projekte (Kto. 6000.3130903, -0,1 Mio., BU -0,2 Mio.) und Umstellungseffekte HRM2 / Steuerabgrenzungsprinzip (45,2 Mio.), Gewinnausschüttung SNB 0 (BU 16,3 Mio.)</t>
  </si>
  <si>
    <t>Enthält Zusatzausschüttung SNB (31,2 Mio., BU 15,9 Mio.)</t>
  </si>
  <si>
    <t>Entnahmen Reserven Förderung digitale Transformation (BU 7,4 Mio.), systemrelevante Infrastrukturen (BU 8 Mio.), Green Deal GR (BU 15,5 Mio.) und Albulatunnel RhB (BU 1,9 Mio.)</t>
  </si>
  <si>
    <t xml:space="preserve">Enthält sechsfache Gewinnausschüttung SNB (BU 92,7 Mio.), Nettobelastung durch Covid-19-Pandemie (BU -10,2 Mio., ohne Steuerausfall) </t>
  </si>
  <si>
    <t>Enthält 10,2 Mio. Erlös aus Verkauf von Beteiligungen und Aufwertungsgewinn auf Wertschriften FV (BU: 11,3 Mio.)</t>
  </si>
  <si>
    <t>Enthält 10,5 Mio. Erlös aus Verkauf von Beteiligungen und Aufwertungsgewinn auf Wertschriften FV (BU: 10,0 Mio.)</t>
  </si>
  <si>
    <t>a.o. Ergebnis
(2. Stufe)</t>
  </si>
  <si>
    <t>Enthält 17,1 Mio. Erlös Verkauf Beteiligungen, Aufwertungsgewinn Wertschriften FV und Höherbewertung Liegenschaften FV (BU: 15 Mio.)</t>
  </si>
  <si>
    <t>ohne Vorzeichen: Ertragsüberschuss / Negatives Vorzeichen: Aufwandüberschuss, FV: Finanzvermögen, VV: Verwaltungsvermögen</t>
  </si>
  <si>
    <t>nicht budget. zusätzliche Abschreibungen Verwaltungsvermögen (-1,1 Mio.) und Entnahme aus Reserve Vereina-Bahntunnel (8,9 Mio., BU 9,36 Mio.)</t>
  </si>
  <si>
    <t>Enthält 13,2 Mio. nicht budget. Buchgewinne Übertrag Liegenschaften VV auf FV und Bewertungskorrekturen (davon SF Strassen 3,7 Mio.)</t>
  </si>
  <si>
    <t>Enthält 1,1 Mio. nicht budget. Aufwertung von Liegenschaften FV und VV.</t>
  </si>
  <si>
    <t>Enthält nicht budget. Gewinnausschüttung SNB (15,9 Mio.)</t>
  </si>
  <si>
    <t>Enthält doppelte Gewinnausschüttung SNB (31,4 Mio., BU 15,9 Mio.) und nicht budget. Rückerstattungen von Subventionen durch PostAuto AG (14,6 Mio.)</t>
  </si>
  <si>
    <t xml:space="preserve">Enthält vierfache Gewinnausschüttung SNB (62,1 Mio., BU 15,5 Mio.), nicht budget. Jubiläumsdividende GKB (12,6 Mio.) und nicht budget. Nettobelastung durch Covid-19-Pandemie (-60,3 Mio.) </t>
  </si>
  <si>
    <t>nicht budget. zus. Abschreibungen Liegensch. und Investitionsbeiträge (-17,1 Mio.) und a.o. Zuweisung allgem. Staatsmitteln an SF Strassen (-12,7 Mio.)</t>
  </si>
  <si>
    <t>Enthält 3,6 Mio. nicht budget. Erlös aus Verkauf von Beteiligungen</t>
  </si>
  <si>
    <t>Enthält 6,1 Mio. nicht budget. Gewinn aus Verkauf und Aufwertung von Wertschriften und Liegenschaften FV und VV.</t>
  </si>
  <si>
    <t>Enthält 5,3 Mio. nicht budget. Gewinn Verkauf und Aufwertung Wertschriften und Liegenschaften FV. Ausweis gem. Jahresrechnung 2006.</t>
  </si>
  <si>
    <t>Enthält 7,3 Mio. nicht budget. Gewinn Verkauf und Bewertung Wertschriften und Liegenschaften FV sowie 5,2 Mio. nicht budget. Dividenden PS GKB.</t>
  </si>
  <si>
    <t>Enthält 3,9 Mio. nicht budget. Erlös aus Verkauf Beteiligungen und 4,9 Mio. budget. Erlös aus Verkauf von Liegenschaften FV.</t>
  </si>
  <si>
    <t xml:space="preserve">Enthält 0,2 Mio. nicht budget. Gewinn aus Verkauf und Bewertung von Wertschriften und Liegenschaften des Finanzvermögens </t>
  </si>
  <si>
    <t>Enthält 7,4 Mio. nicht budget. Gewinn aus Verkauf/Übertrag  und Aufwertung von Anlagen und Wertschriften</t>
  </si>
  <si>
    <t>Enthält 1,4 Mio. nicht budget. Gewinn aus Verkauf/Übertrag  und Aufwertung von Anlagen und Wertschriften</t>
  </si>
  <si>
    <t>Enthält 3,9 Mio. nicht budget. Gewinn aus Verkauf/Übertrag  und Aufwertung von Anlagen und Wertschriften</t>
  </si>
  <si>
    <t>Enthält 5,2 Mio. nicht budget. Gewinn aus Verkauf/Übertrag  und Aufwertung von Anlagen und Wertschriften</t>
  </si>
  <si>
    <t xml:space="preserve">nicht budget. Aufwertungsgewinn PS GKB (195 Mio.) und Mittelverwendung für innovative Projekte (-9,1 Mio., BU -13,5 Mio.) </t>
  </si>
  <si>
    <t>nicht budget. Bewertungskorrekturen Wertschriften FV (14,3 Mio.) und Mittelverwendung für innovative Projekte (-3,4 Mio., BU -5,8 Mio.)</t>
  </si>
  <si>
    <t>nicht budget. Bewertungskorrekturen Wertschriften FV (5,8 Mio.), Einlage in SF Finanzausgleich (-220 Mio.), Reservenbildung Erneuerung Albulatunnel (-40 Mio.), Mittelverwendung für innovative Projekte (-3,7 Mio., BU -5,0 Mio.)</t>
  </si>
  <si>
    <t xml:space="preserve"> nicht budget. Bewertungskorrekturen Wertschriften FV (7,3 Mio.), Mittelverwendung für innovative Projekte (-2,2 Mio., BU -3,2 Mio.)</t>
  </si>
  <si>
    <t>Enthält Mittelverwendung für innovative Projekte (Kto. 2250.3635901/4636901, 6000.3130903, total -3 Mio., BU -3,9 Mio.) und nicht budget. Gewinnausschüttung SNB (16,3 Mio.)</t>
  </si>
  <si>
    <t>nicht budget. a.o. Finanzaufwand (-102,8 Mio.) und a.o. Finanzertrag (29,7 Mio.)</t>
  </si>
  <si>
    <t>nicht budget. a.o. Finanzaufwand (-64,4 Mio.) und a.o. Finanzertrag (69,5 Mio.) sowie Entnahme aus Reserve Albulatunnel RhB (6,4 Mio.)</t>
  </si>
  <si>
    <t>nicht budget. a.o. Finanzaufwand (-92,3 Mio.),  Einlage in Reserve systemrelevante Infrastrukturen (-80 Mio.) und a.o. Finanzertrag (120,8 Mio.) sowie Entnahme aus Reserve Albulatunnel RhB (8,4 Mio., BU 8 Mio.)</t>
  </si>
  <si>
    <t>nicht budget. a.o. Finanzaufwand (-91,5 Mio.) und a.o. Finanzertrag (19,6 Mio.) sowie Entnahmen aus Reserve Albulatunnel RhB (4 Mio., BU 4 Mio.) und aus Reserve systemrelevante Infrastrukturen (BU 1 Mio.)</t>
  </si>
  <si>
    <t>Enthält nicht budget. doppelte Gewinnausschüttung SNB (32,0 Mio.) und Mittelverwendung innovative Projekte (Kto. 6000.3130903, -0,2 Mio., BU -0,2 Mio.)</t>
  </si>
  <si>
    <t>nicht budget. a.o. Finanzaufwand (-0,3 Mio.) und a.o. Finanzertrag (44,5 Mio.) sowie Entnahmen aus Reserve Albulatunnel RhB (4 Mio., BU 4,1 Mio.) und aus Reserve systemrelevante Infrastrukturen (2,6 Mio., BU 3,3 Mio.)</t>
  </si>
  <si>
    <t>Enthält Zusatzausschüttung SNB (27,3 Mio., BU 15,9 Mio.) und nicht budget. Gewinn Teilverkauf Aktien Ems-Chemie Holding AG (16,4 Mio.)</t>
  </si>
  <si>
    <t>nicht budget. a.o. Finanzaufwand (-44,6 Mio.), Einlage in Reserve Hochschulzentrum Chur (-90 Mio.), a.o. Finanzertrag (22,5 Mio.), Entnahmen Reserve Albulatunnel RhB (3,2 Mio., BU 4,1 Mio.) und systemrelevante Infrastrukturen (6,4 Mio., BU 6 Mio.)</t>
  </si>
  <si>
    <t>nicht budget. a.o. Finanzaufwand (-80,4 Mio.), nicht budget. a.o. Finanzertrag (11,5 Mio.), Entnahmen Reserve Albulatunnel RhB (2,2 Mio., BU 3,9 Mio.) und systemrelevante Infrastrukturen (4,8 Mio., BU 10 Mio.)</t>
  </si>
  <si>
    <t xml:space="preserve">nicht budget. a.o. Finanzaufwand (-0,1 Mio.) und a.o. Finanzertrag (38,2 Mio.), Entnahmen Reserven Albulatunnel RhB (0,6 Mio., BU 2,6 Mio.) und systemrelevante Infrastrukturen (4,5 Mio., BU 11 Mio.), nicht budget. Einlage Reserve digitale Transform. (-40 Mio.) </t>
  </si>
  <si>
    <t>Ø RP
 05-08</t>
  </si>
  <si>
    <t>Ø 97
-03</t>
  </si>
  <si>
    <r>
      <t>operatives Ergebnis</t>
    </r>
    <r>
      <rPr>
        <b/>
        <vertAlign val="superscript"/>
        <sz val="10"/>
        <color theme="1"/>
        <rFont val="Arial Narrow"/>
        <family val="2"/>
      </rPr>
      <t xml:space="preserve">1)
</t>
    </r>
    <r>
      <rPr>
        <b/>
        <sz val="10"/>
        <color theme="1"/>
        <rFont val="Arial Narrow"/>
        <family val="2"/>
      </rPr>
      <t>(1. Stufe)</t>
    </r>
  </si>
  <si>
    <t>nicht richtwert-relevant</t>
  </si>
  <si>
    <r>
      <rPr>
        <vertAlign val="superscript"/>
        <sz val="10"/>
        <rFont val="Arial Narrow"/>
        <family val="2"/>
      </rPr>
      <t>4</t>
    </r>
    <r>
      <rPr>
        <sz val="10"/>
        <rFont val="Arial Narrow"/>
        <family val="2"/>
      </rPr>
      <t xml:space="preserve">) für den finanzpolitischen Richtwert Nr. 2 relevant. </t>
    </r>
    <r>
      <rPr>
        <sz val="10"/>
        <color theme="6" tint="-0.249977111117893"/>
        <rFont val="Arial Narrow"/>
        <family val="2"/>
      </rPr>
      <t>Grün: Richtwert eingehalten</t>
    </r>
    <r>
      <rPr>
        <sz val="10"/>
        <rFont val="Arial Narrow"/>
        <family val="2"/>
      </rPr>
      <t>,</t>
    </r>
    <r>
      <rPr>
        <sz val="10"/>
        <color theme="5" tint="-0.249977111117893"/>
        <rFont val="Arial Narrow"/>
        <family val="2"/>
      </rPr>
      <t xml:space="preserve"> Rot: Richtwert nicht eingehalten</t>
    </r>
    <r>
      <rPr>
        <sz val="10"/>
        <rFont val="Arial Narrow"/>
        <family val="2"/>
      </rPr>
      <t>.</t>
    </r>
  </si>
  <si>
    <r>
      <t>5)</t>
    </r>
    <r>
      <rPr>
        <sz val="10"/>
        <rFont val="Arial Narrow"/>
        <family val="2"/>
      </rPr>
      <t xml:space="preserve"> für den finanzpolitischen Richtwert Nr. 1 relevant. </t>
    </r>
    <r>
      <rPr>
        <sz val="10"/>
        <color theme="6" tint="-0.249977111117893"/>
        <rFont val="Arial Narrow"/>
        <family val="2"/>
      </rPr>
      <t>Grün: Richtwert eingehalten</t>
    </r>
    <r>
      <rPr>
        <sz val="10"/>
        <rFont val="Arial Narrow"/>
        <family val="2"/>
      </rPr>
      <t xml:space="preserve">, </t>
    </r>
    <r>
      <rPr>
        <sz val="10"/>
        <color theme="5" tint="-0.249977111117893"/>
        <rFont val="Arial Narrow"/>
        <family val="2"/>
      </rPr>
      <t>Rot: Richtwert nicht eingehalten</t>
    </r>
    <r>
      <rPr>
        <sz val="10"/>
        <rFont val="Arial Narrow"/>
        <family val="2"/>
      </rPr>
      <t>.</t>
    </r>
  </si>
  <si>
    <r>
      <t xml:space="preserve">in tausend Franken, Budget (BU) ohne Nachtragskredite
</t>
    </r>
    <r>
      <rPr>
        <sz val="7.5"/>
        <color theme="6" tint="-0.249977111117893"/>
        <rFont val="Arial Narrow"/>
        <family val="2"/>
      </rPr>
      <t>Grün: Richtwert Nr. 5 eingehalten</t>
    </r>
    <r>
      <rPr>
        <sz val="7.5"/>
        <color theme="1"/>
        <rFont val="Arial Narrow"/>
        <family val="2"/>
      </rPr>
      <t xml:space="preserve">, </t>
    </r>
    <r>
      <rPr>
        <sz val="7.5"/>
        <color theme="5" tint="-0.249977111117893"/>
        <rFont val="Arial Narrow"/>
        <family val="2"/>
      </rPr>
      <t>Rot: Richtwert Nr. 5 nicht eingehalten.</t>
    </r>
  </si>
  <si>
    <r>
      <t>Netto-
Invest. I</t>
    </r>
    <r>
      <rPr>
        <b/>
        <vertAlign val="superscript"/>
        <sz val="10"/>
        <color theme="1"/>
        <rFont val="Arial Narrow"/>
        <family val="2"/>
      </rPr>
      <t>1)</t>
    </r>
  </si>
  <si>
    <r>
      <t>Netto-
Invest. II</t>
    </r>
    <r>
      <rPr>
        <b/>
        <vertAlign val="superscript"/>
        <sz val="10"/>
        <color theme="1"/>
        <rFont val="Arial Narrow"/>
        <family val="2"/>
      </rPr>
      <t>2)</t>
    </r>
  </si>
  <si>
    <t>Netto-
Invest. I</t>
  </si>
  <si>
    <r>
      <t xml:space="preserve">
Netto-
Invest. II</t>
    </r>
    <r>
      <rPr>
        <b/>
        <vertAlign val="superscript"/>
        <sz val="10"/>
        <color theme="1"/>
        <rFont val="Arial Narrow"/>
        <family val="2"/>
      </rPr>
      <t xml:space="preserve">4) </t>
    </r>
  </si>
  <si>
    <t xml:space="preserve">
in % der Netto-Invest. II</t>
  </si>
  <si>
    <t xml:space="preserve">
RE-BU
Netto-Invest. II</t>
  </si>
  <si>
    <t xml:space="preserve">Gesamt-
aufwand
</t>
  </si>
  <si>
    <t xml:space="preserve">Personal-aufwand
</t>
  </si>
  <si>
    <t>Sach- u. übr. Betr. Aufwand</t>
  </si>
  <si>
    <r>
      <t>Transfer-aufwand</t>
    </r>
    <r>
      <rPr>
        <b/>
        <vertAlign val="superscript"/>
        <sz val="10"/>
        <color theme="1"/>
        <rFont val="Arial Narrow"/>
        <family val="2"/>
      </rPr>
      <t>2)</t>
    </r>
    <r>
      <rPr>
        <b/>
        <sz val="10"/>
        <color theme="1"/>
        <rFont val="Arial Narrow"/>
        <family val="2"/>
      </rPr>
      <t xml:space="preserve">
</t>
    </r>
  </si>
  <si>
    <r>
      <t>davon
360, 361, 369</t>
    </r>
    <r>
      <rPr>
        <b/>
        <vertAlign val="superscript"/>
        <sz val="10"/>
        <color theme="1"/>
        <rFont val="Arial Narrow"/>
        <family val="2"/>
      </rPr>
      <t>3)</t>
    </r>
  </si>
  <si>
    <r>
      <t>davon
362</t>
    </r>
    <r>
      <rPr>
        <b/>
        <vertAlign val="superscript"/>
        <sz val="10"/>
        <color theme="1"/>
        <rFont val="Arial Narrow"/>
        <family val="2"/>
      </rPr>
      <t>4)</t>
    </r>
  </si>
  <si>
    <r>
      <t>davon
363</t>
    </r>
    <r>
      <rPr>
        <b/>
        <vertAlign val="superscript"/>
        <sz val="10"/>
        <color theme="1"/>
        <rFont val="Arial Narrow"/>
        <family val="2"/>
      </rPr>
      <t>5)</t>
    </r>
    <r>
      <rPr>
        <b/>
        <sz val="10"/>
        <color theme="1"/>
        <rFont val="Arial Narrow"/>
        <family val="2"/>
      </rPr>
      <t xml:space="preserve">
</t>
    </r>
  </si>
  <si>
    <r>
      <t>davon
364, 366</t>
    </r>
    <r>
      <rPr>
        <b/>
        <vertAlign val="superscript"/>
        <sz val="10"/>
        <color theme="1"/>
        <rFont val="Arial Narrow"/>
        <family val="2"/>
      </rPr>
      <t xml:space="preserve">6)
</t>
    </r>
  </si>
  <si>
    <t>Durchl. Beiträge</t>
  </si>
  <si>
    <t>Transferaufwand (36)</t>
  </si>
  <si>
    <t>a.o. Aufwand (38)</t>
  </si>
  <si>
    <t>nicht budget. zusätzliche Abschreibungen Hochbauten und Mobiliar (-53,8 Mio.) und Mittelverwendung für innovative Projekte (-56,1 Mio., BU -27,5 Mio.). In Jahresrechnung 2007 nur auf Seite A 12 im Abschnitt 1.1 so ausgewiesen.</t>
  </si>
  <si>
    <r>
      <t>7)</t>
    </r>
    <r>
      <rPr>
        <sz val="10"/>
        <color theme="1"/>
        <rFont val="Arial Narrow"/>
        <family val="2"/>
      </rPr>
      <t xml:space="preserve"> Ausserordentlicher Aufwand 1997-2012:
Bereinigungen 1997-2008 siehe auch Tabellenblatt "Ergebnisse Erfolgsrechnung".   
2005: Verwendung Golderlös SNB 511,2 Mio., a.o. Zuweisung an SF Strassen 10,0 Mio.
2007: zusätzliche Abschreibungen Sachanlagen 53,8 Mio., Mittelverwendung innovative Projekte 56,1 Mio.  
2011: Einlage in SF Finanzausgleich 220 Mio. und Reserve Erneuerung Albulatunnel 40 Mio.</t>
    </r>
  </si>
  <si>
    <t>nicht budget. Reduktion Zuweisung allgem. Staatsmittel an SF Strassen (8,0 Mio.) und Entnahme Reserve Vereina-Bahntunnel (8,9 Mio., BU 8,4 Mio.)</t>
  </si>
  <si>
    <r>
      <t>Ausser-ordentl. Aufwand</t>
    </r>
    <r>
      <rPr>
        <b/>
        <vertAlign val="superscript"/>
        <sz val="10"/>
        <color theme="1"/>
        <rFont val="Arial Narrow"/>
        <family val="2"/>
      </rPr>
      <t>7)</t>
    </r>
  </si>
  <si>
    <r>
      <t>davon
384</t>
    </r>
    <r>
      <rPr>
        <b/>
        <vertAlign val="superscript"/>
        <sz val="10"/>
        <color theme="1"/>
        <rFont val="Arial Narrow"/>
        <family val="2"/>
      </rPr>
      <t>8)</t>
    </r>
  </si>
  <si>
    <r>
      <t>davon
389</t>
    </r>
    <r>
      <rPr>
        <b/>
        <vertAlign val="superscript"/>
        <sz val="10"/>
        <color theme="1"/>
        <rFont val="Arial Narrow"/>
        <family val="2"/>
      </rPr>
      <t>9)</t>
    </r>
    <r>
      <rPr>
        <b/>
        <sz val="10"/>
        <color theme="1"/>
        <rFont val="Arial Narrow"/>
        <family val="2"/>
      </rPr>
      <t xml:space="preserve">
</t>
    </r>
  </si>
  <si>
    <r>
      <t>5)</t>
    </r>
    <r>
      <rPr>
        <sz val="10"/>
        <color theme="1"/>
        <rFont val="Arial Narrow"/>
        <family val="2"/>
      </rPr>
      <t xml:space="preserve"> 489: Entnahmen aus dem Eigenkapital (Reserveentnahmen)</t>
    </r>
  </si>
  <si>
    <r>
      <t>3)</t>
    </r>
    <r>
      <rPr>
        <sz val="10"/>
        <color theme="1"/>
        <rFont val="Arial Narrow"/>
        <family val="2"/>
      </rPr>
      <t xml:space="preserve"> Ausserordentlicher Ertrag 1997-2012:  
2005: Golderlös SNB 511,2 Mio.
2006: Agio Rückzahlung Dotationskapital GKB 99,8 Mio. und Aufwertungsgewinn Umwandlung Dotations- in PS-Kapital GKB 136  Mio. 
2009: Aufwertungsgewinn aus Umwandlung Dotations- in PS-Kapital GKB 184 Mio.</t>
    </r>
  </si>
  <si>
    <t>a.o. Ertrag (48)</t>
  </si>
  <si>
    <t>Gesamt-
ertrag</t>
  </si>
  <si>
    <t>Fiskal-
ertrag</t>
  </si>
  <si>
    <t>Regalien und Konz-essionen</t>
  </si>
  <si>
    <t>Entgelte</t>
  </si>
  <si>
    <t>Finanz-
ertrag</t>
  </si>
  <si>
    <r>
      <t>Transfer-
ertrag</t>
    </r>
    <r>
      <rPr>
        <b/>
        <vertAlign val="superscript"/>
        <sz val="10"/>
        <color theme="1"/>
        <rFont val="Arial Narrow"/>
        <family val="2"/>
      </rPr>
      <t>2)</t>
    </r>
  </si>
  <si>
    <r>
      <t>Ausser-ordentl. Ertrag</t>
    </r>
    <r>
      <rPr>
        <b/>
        <vertAlign val="superscript"/>
        <sz val="10"/>
        <color theme="1"/>
        <rFont val="Arial Narrow"/>
        <family val="2"/>
      </rPr>
      <t>3)</t>
    </r>
  </si>
  <si>
    <r>
      <t>davon 
484</t>
    </r>
    <r>
      <rPr>
        <b/>
        <vertAlign val="superscript"/>
        <sz val="10"/>
        <color theme="1"/>
        <rFont val="Arial Narrow"/>
        <family val="2"/>
      </rPr>
      <t>4)</t>
    </r>
  </si>
  <si>
    <r>
      <t>davon 
489</t>
    </r>
    <r>
      <rPr>
        <b/>
        <vertAlign val="superscript"/>
        <sz val="10"/>
        <color theme="1"/>
        <rFont val="Arial Narrow"/>
        <family val="2"/>
      </rPr>
      <t>5)</t>
    </r>
    <r>
      <rPr>
        <b/>
        <sz val="10"/>
        <color theme="1"/>
        <rFont val="Arial Narrow"/>
        <family val="2"/>
      </rPr>
      <t xml:space="preserve">
</t>
    </r>
  </si>
  <si>
    <r>
      <t>Richtwert
Netto-
Invest. II</t>
    </r>
    <r>
      <rPr>
        <b/>
        <i/>
        <vertAlign val="superscript"/>
        <sz val="10"/>
        <color theme="1"/>
        <rFont val="Arial Narrow"/>
        <family val="2"/>
      </rPr>
      <t>4)</t>
    </r>
  </si>
  <si>
    <r>
      <rPr>
        <i/>
        <sz val="10"/>
        <rFont val="Symbol"/>
        <family val="1"/>
        <charset val="2"/>
      </rPr>
      <t xml:space="preserve">Æ </t>
    </r>
    <r>
      <rPr>
        <i/>
        <sz val="10"/>
        <rFont val="Arial Narrow"/>
        <family val="2"/>
      </rPr>
      <t>230</t>
    </r>
  </si>
  <si>
    <t>Rückzahlung Dotationskapital GKB (RE -20 Mio) und Umwandlung Dotationskapital in PS GKB (RE -20 Mio.),  bereinigt: Darlehen an LKG (RE 0,2 Mio. BU 0,5 Mio.). RW von 170 Mio. bei Ausklammerung eines zinsvergünstigten Darlehens von 10 Mio. und von nicht im FP enthaltenen Investitionsbeiträgen von 4 Mio. an Grosssägerei eingehalten.</t>
  </si>
  <si>
    <t>bereinigt: innovatives Projekt "Erneuerung des Rollmaterials der RhB" (RE 22 Mio. BU 22 Mio.) und Darlehen an LKG (RE 0,7 Mio. BU 3 Mio.). RW von 170 Mio. bei Ausklammerung von nicht im FP enthaltenen Investitionsbeiträgen von 3,5 Mio. an die geplante Grosssägerei und von 4,1 Mio. an den Bau der Porta Alpina eingehalten.</t>
  </si>
  <si>
    <t>vom Bund finanzierte Darlehen (LKG RE 4,3 Mio. BU 0, bereinigt: NRP netto  RE 1,5 Mio. BU 9,2 Mio.),  a.o. Einnahmen aus Umwandlung Dotationskapital GKB (RE 25 Mio. BU 0 ), bereinigt: vom RW ausgenommene Vorhaben (Kauf Grossratsgebäude RE 8,3 Mio. BU 8,8 Mio.). Darlehen gem. Wirtschaftsentwicklungsgesetz (BU netto 1,3 Mio.) entgegen Budgetbotschaft 2016, Seite A39, richtwertrelevant (dort brutto).</t>
  </si>
  <si>
    <r>
      <rPr>
        <vertAlign val="superscript"/>
        <sz val="10"/>
        <color theme="1"/>
        <rFont val="Arial Narrow"/>
        <family val="2"/>
      </rPr>
      <t>5)</t>
    </r>
    <r>
      <rPr>
        <sz val="10"/>
        <color theme="1"/>
        <rFont val="Arial Narrow"/>
        <family val="2"/>
      </rPr>
      <t xml:space="preserve"> bis 2008: Ausgewiesenes Ergebnis Laufende Rechnung + Abschreibungen +/- Veränderung Delkredere-Rückstellungen +/- Zuweisungen/Entnahmen aus SF, Fonds und Reserven, 2005 - Anteil Erlös SNB-Gold - Ertrag Systemwechsel Finanzausgleich. 
Ab 2009 ordentliches Ergebnis Laufende Rechnung + Abschreibungen +/- Zuweisungen/Entnahmen aus SF, Fonds und Reserven, Ab 2013 siehe Tabellenblatt "HRM-Kennzahlen ab 2013"</t>
    </r>
  </si>
  <si>
    <r>
      <rPr>
        <vertAlign val="superscript"/>
        <sz val="10"/>
        <color theme="1"/>
        <rFont val="Arial Narrow"/>
        <family val="2"/>
      </rPr>
      <t>10)</t>
    </r>
    <r>
      <rPr>
        <sz val="10"/>
        <color theme="1"/>
        <rFont val="Arial Narrow"/>
        <family val="2"/>
      </rPr>
      <t xml:space="preserve"> Fremdkapital (20) - Finanzvermögen (10) - Darlehen (144) - Beteiligungen, Grundkapitalien (145); bis 2012: Fremdkapital (20) - Finanzvermögen (10) - Darlehen und Beteiligungen (115), siehe Jahresrechnung 2012, Seite 393</t>
    </r>
  </si>
  <si>
    <t>Anteil des laufenden Ertrages, den die öffentliche Körperschaft zur Finanzierung ihrer Investitionen aufwenden kann.</t>
  </si>
  <si>
    <r>
      <rPr>
        <vertAlign val="superscript"/>
        <sz val="10"/>
        <color theme="1"/>
        <rFont val="Arial Narrow"/>
        <family val="2"/>
      </rPr>
      <t>11)</t>
    </r>
    <r>
      <rPr>
        <sz val="10"/>
        <color theme="1"/>
        <rFont val="Arial Narrow"/>
        <family val="2"/>
      </rPr>
      <t xml:space="preserve"> Im 2013 erhöhte sich das Gesamteigenkapital im Zuge der HRM2-Einführung um total 1 565 Mio. Franken durch Neubewertungen und Umgliederungen. Ab 2015 werden die Steuerguthaben wieder gemäss dem Sollprinzip ausgewiesen. Die Aufwertungs- und Neubewertungsreserven betragen seither 1000 Mio. Franken. Diese werden ausschliesslich im Anhang der Jahresrechnung (Eigenkapitalnachweis) ausgewiesen (ab 2019 verdichtet in einem Betrag).</t>
    </r>
  </si>
  <si>
    <r>
      <rPr>
        <vertAlign val="superscript"/>
        <sz val="10"/>
        <color theme="1"/>
        <rFont val="Arial Narrow"/>
        <family val="2"/>
      </rPr>
      <t xml:space="preserve">2) </t>
    </r>
    <r>
      <rPr>
        <sz val="10"/>
        <color theme="1"/>
        <rFont val="Arial Narrow"/>
        <family val="2"/>
      </rPr>
      <t>Transferaufwand 1997-2012: 34 Anteile und Beiträge ohne Zweckbindung, 35 Enschädigungen an Gemeinwesen für Dienstleistungen, 36 Eigene Beiträge, 5113.3313 Ordentliche Abschreibungen auf Investitionsbeiträgen, 5113.3322 zusätzliche Abschreibungen Investitionsbeiträge, 2250.3319 Abschreibungen Darlehen Wirtschaftsentwicklungsgesetz, 2250.3195 Einlösung Bürgschaftsverpflichtungen, 2250.3196 Anteil Verlust an IHG-Darlehen.</t>
    </r>
  </si>
  <si>
    <t>Budget 2022</t>
  </si>
  <si>
    <t>Einwohner per 31.12. Vorjahr</t>
  </si>
  <si>
    <t>nicht budget. Aufwertungsgewinn PS GKB (136 Mio.) und Agio auf Rückzahlung Dotationskapital GKB (99,8 Mio.), siehe Botschaft zur Jahresrechnung 2006, Seite A 10.</t>
  </si>
  <si>
    <t>nicht budget. a.o. Zuweisung allgem. Staatsmittel an SF Strassen (-10,0 Mio.). Ausweis gem. Jahresrechnung 2006 (siehe Seite A 10). Enthält 511,2 Mio. SNB-Golderlös sowie  511,2 Mio. Verwendung des SNB-Golderlöses (ergebnisneutral).</t>
  </si>
  <si>
    <t>RE 2021</t>
  </si>
  <si>
    <t>BU 2023</t>
  </si>
  <si>
    <t>Bestand
31.12.2016</t>
  </si>
  <si>
    <t>Bestand
31.12.2017</t>
  </si>
  <si>
    <t>Bestand
31.12.2018</t>
  </si>
  <si>
    <t>Bestand
31.12.2019</t>
  </si>
  <si>
    <t>Bestand
31.12.2020</t>
  </si>
  <si>
    <t>Bestand
31.12.2021</t>
  </si>
  <si>
    <t>Verfügbares Eigenkapital</t>
  </si>
  <si>
    <t>Zweckgebundenes Eigenkapital</t>
  </si>
  <si>
    <t>290    Spezialfinanzierungen im Eigenkapital</t>
  </si>
  <si>
    <t>293    Vorfinanzierungen</t>
  </si>
  <si>
    <t>+ frei verfügbares Eigenkapital</t>
  </si>
  <si>
    <t>=        verfügbares Eigenkapital</t>
  </si>
  <si>
    <r>
      <rPr>
        <vertAlign val="superscript"/>
        <sz val="10"/>
        <color theme="1"/>
        <rFont val="Arial Narrow"/>
        <family val="2"/>
      </rPr>
      <t>9)</t>
    </r>
    <r>
      <rPr>
        <sz val="10"/>
        <color theme="1"/>
        <rFont val="Arial Narrow"/>
        <family val="2"/>
      </rPr>
      <t xml:space="preserve"> 389: Einlagen in das Eigenkapital:
2015:  Reserve zur Vorfinanzierung systemrelevanter Infrastrukturen
2018:  Reserve zur Vorfinanzierung Hochschulzentrum FHGR (ehemals HTW Chur)
2020:  Reserve zur Vorfinanzierung digitale Transformation
2021: Reserve zur Vorfinanzierung Green Deal GR</t>
    </r>
  </si>
  <si>
    <r>
      <rPr>
        <vertAlign val="superscript"/>
        <sz val="10"/>
        <color theme="1"/>
        <rFont val="Arial Narrow"/>
        <family val="2"/>
      </rPr>
      <t>8)</t>
    </r>
    <r>
      <rPr>
        <sz val="10"/>
        <color theme="1"/>
        <rFont val="Arial Narrow"/>
        <family val="2"/>
      </rPr>
      <t xml:space="preserve"> 384: Ausserordentlicher Finanzaufwand (ab 2020 Verluste auf aus übergeordnet politischem Interesse gehaltenen Wertschriften gem. Art. 2b Abs. 3 lit. b FHV)</t>
    </r>
  </si>
  <si>
    <r>
      <t>4)</t>
    </r>
    <r>
      <rPr>
        <sz val="10"/>
        <color theme="1"/>
        <rFont val="Arial Narrow"/>
        <family val="2"/>
      </rPr>
      <t xml:space="preserve"> 484: Ausserordentliche Finanzerträge  (ab 2020 Gewinne auf aus übergeordnet politischem Interesse gehaltenen Wertschriften gem. Art. 2b Abs. 3 lit. b FHV)</t>
    </r>
  </si>
  <si>
    <r>
      <rPr>
        <vertAlign val="superscript"/>
        <sz val="10"/>
        <color theme="1"/>
        <rFont val="Arial Narrow"/>
        <family val="2"/>
      </rPr>
      <t xml:space="preserve">4) </t>
    </r>
    <r>
      <rPr>
        <sz val="10"/>
        <color theme="1"/>
        <rFont val="Arial Narrow"/>
        <family val="2"/>
      </rPr>
      <t xml:space="preserve">für den finanzpolitischen Richtwert Nr. 5 betreffend maximal zulässigen Ausgabenüberschuss relevant. </t>
    </r>
    <r>
      <rPr>
        <sz val="10"/>
        <color theme="6" tint="-0.249977111117893"/>
        <rFont val="Arial Narrow"/>
        <family val="2"/>
      </rPr>
      <t>Grün: Richtwert Nr. 5 eingehalten</t>
    </r>
    <r>
      <rPr>
        <sz val="10"/>
        <color theme="1"/>
        <rFont val="Arial Narrow"/>
        <family val="2"/>
      </rPr>
      <t>,</t>
    </r>
    <r>
      <rPr>
        <sz val="10"/>
        <color theme="5" tint="-0.249977111117893"/>
        <rFont val="Arial Narrow"/>
        <family val="2"/>
      </rPr>
      <t xml:space="preserve"> Rot: Richtwert Nr. 5 nicht eingehalten</t>
    </r>
    <r>
      <rPr>
        <sz val="10"/>
        <color theme="1"/>
        <rFont val="Arial Narrow"/>
        <family val="2"/>
      </rPr>
      <t>.</t>
    </r>
  </si>
  <si>
    <t>** Die Gesamtausgaben setzen sich zusammen aus den Laufenden Ausgaben und den Bruttoinvestitionen. Zahlen gemäss Berechnungsart ab 2016 (Systemwechsel Zuschlagsteuer (5315.3602101) ab 2016 über Bilanz, mit Restatement 2013-2015). Berechnungsart gemäss Kapitel 4.1 im Bericht der Regierung in der Budgetbotschaft 2022, entspricht inhaltlich der HRM2-Berechnungsart gemäss Anhang «Kennzahlen» in der Budgetbotschaft 2023.</t>
  </si>
  <si>
    <t>Budget 2023</t>
  </si>
  <si>
    <t>+ davon wegfallende vom Grossen Rat vom Richtwert mit seperaten Beschlüssen ausgenommene Lohnsummenerhöhungen</t>
  </si>
  <si>
    <t>Ø 04
-23</t>
  </si>
  <si>
    <t>Ø 97
-23</t>
  </si>
  <si>
    <t xml:space="preserve">nicht budget. a.o. Finanzertrag (56,4 Mio.), Entnahmen Reserven Förderung digitale Transformation (1,0 Mio., BU 6,8 Mio.), systemrelevante Infrastrukturen (2,4 Mio., BU 12 Mio.) und Albulatunnel RhB (2,0 Mio., BU 2,6 Mio.), nicht budget. Einlage Reserve Green Deal GR (-67 Mio.) </t>
  </si>
  <si>
    <t xml:space="preserve">Enthält sechsfache Gewinnausschüttung SNB (92,7 Mio., BU 62,0 Mio.) und nicht budget. Nettobelastung durch Covid-19-Pandemie (-87,6 Mio.) </t>
  </si>
  <si>
    <t>Entnahmen Reserven Förderung digitale Transformation (BU 6,6 Mio.), systemrelevante Infrastrukturen (BU 5 Mio.), Green Deal GR (BU 14,4 Mio.) und Albulatunnel RhB (BU 1,9 Mio.)</t>
  </si>
  <si>
    <t xml:space="preserve">Enthält vierfache Gewinnausschüttung SNB (BU 61,6 Mio.), Nettobelastung durch Ukraine-Krise (BU -13.0 Mio.) und Covid-19-Pandemie (BU -3,3 Mio., ohne Steuerausfall) </t>
  </si>
  <si>
    <t>Ausweis / Herleitung siehe Budgetbotschaft 2023, Seite 87</t>
  </si>
  <si>
    <t>Ausweis / Herleitung siehe Rechnungsbotschaft 2021, Seite 87</t>
  </si>
  <si>
    <t>Planbestand
31.12.2022</t>
  </si>
  <si>
    <t>Planbestand
31.12.2023</t>
  </si>
  <si>
    <t>in Mio. Franken</t>
  </si>
  <si>
    <t>finanzpolitisch relevantes Eigenkapital</t>
  </si>
  <si>
    <t>Für die finanzpolitische Steuerung ist das ausgewiesene Gesamteigenkapital von gut 2,8 Milliarden keine geeignete Grösse. Es ist zum grössten Teil zur öffentlichen Aufgabenerfüllung gebunden und daher nicht frei verfügbar. Zur Deckung von Aufwandüberschüssen in der Erfolgsrechnung sowie für die Bildung von Vorfinanzierungen von Grossprojekten steht das «frei verfügbare Eigenkapital» zur Verfügung. Dieses wird ergänzt durch das «zweckgebundene Eigenkapital». Zusammen bilden sie das «verfügbare Eigenkapital».
Das «zweckgebundene Eigenkapital» umfasst einerseits die Vermögen von Spezialfinanzierungen (SF) im Eigenkapital sowie die gebildeten Reserven bzw. Vorfinanzierungen. Das «frei verfügbare Eigenkapital» entspricht dem Bilanzüberschuss abzüglich des Verwaltungsvermögens (ohne bundesfinanzierte Darlehen) sowie der aus politischem Interesse gehaltenen Aktien und Anteilscheine im Finanzvermögen. Beide Grössen sind in Art. 2b der Finanzhaushaltsverordnung (FHV; BR 710.110) klar definiert und ausführlich erläutert. Die detaillierte Herleitung erfolgt jeweils im Rahmen der Jahresrechnung (Siehe Jahresrechnung 2021, Seite 86)</t>
  </si>
  <si>
    <r>
      <rPr>
        <b/>
        <sz val="7.5"/>
        <rFont val="Arial Narrow"/>
        <family val="2"/>
      </rPr>
      <t>Zunahme budgetierte Gesamlohnsumme real max. +1 % im Jahresdurchschnitt eingehalten</t>
    </r>
    <r>
      <rPr>
        <sz val="7.5"/>
        <rFont val="Arial Narrow"/>
        <family val="2"/>
      </rPr>
      <t xml:space="preserve"> (+0,66 %. 2,65 Mio. LSE für VK Führung der Covid-19 Abteilung vom RW augenommen)</t>
    </r>
  </si>
  <si>
    <r>
      <rPr>
        <b/>
        <sz val="7.5"/>
        <rFont val="Arial Narrow"/>
        <family val="2"/>
      </rPr>
      <t>Zunahme budgetierte Gesamlohnsumme real max. +1 % im Jahresdurchschnitt eingehalten</t>
    </r>
    <r>
      <rPr>
        <sz val="7.5"/>
        <rFont val="Arial Narrow"/>
        <family val="2"/>
      </rPr>
      <t xml:space="preserve"> (+0,90 % </t>
    </r>
    <r>
      <rPr>
        <sz val="7.5"/>
        <rFont val="Symbol"/>
        <family val="1"/>
        <charset val="2"/>
      </rPr>
      <t>Æ</t>
    </r>
    <r>
      <rPr>
        <sz val="7.5"/>
        <rFont val="Arial Narrow"/>
        <family val="2"/>
      </rPr>
      <t xml:space="preserve"> Budget 2021 und 2022. 0,99 Mio. LSE für 7,2 FTE KESB vom RW augenommen)</t>
    </r>
  </si>
  <si>
    <r>
      <rPr>
        <b/>
        <sz val="7.5"/>
        <rFont val="Arial Narrow"/>
        <family val="2"/>
      </rPr>
      <t>Zunahme budgetierte Gesamlohnsumme real max. +1 % im Jahresdurchschnitt eingehalten</t>
    </r>
    <r>
      <rPr>
        <sz val="7.5"/>
        <rFont val="Arial Narrow"/>
        <family val="2"/>
      </rPr>
      <t xml:space="preserve"> (+1,00 % </t>
    </r>
    <r>
      <rPr>
        <sz val="7.5"/>
        <rFont val="Symbol"/>
        <family val="1"/>
        <charset val="2"/>
      </rPr>
      <t>Æ</t>
    </r>
    <r>
      <rPr>
        <sz val="7.5"/>
        <rFont val="Arial Narrow"/>
        <family val="2"/>
      </rPr>
      <t xml:space="preserve"> Budget 2021 bis 2023. 2,975 Mio. LSE für 13,0 FTE SOA und 19,0 FTE AFM wegen Ukraine und 0,6 FTE STAKA vom RW augenommen. 1,4 Mio. wegfallende LS für VK Führung der Covid-19 Abteilung)</t>
    </r>
  </si>
  <si>
    <t>- davon Teuerungsausgleich (dezentral + Konto 5121.301013, ab BU 2021 ohne Gerichte)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</si>
</sst>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 ###\ ###\ ##0"/>
    <numFmt numFmtId="168" formatCode="#,##0.000000"/>
  </numFmts>
  <fonts count="47" x14ac:knownFonts="1">
    <font>
      <sz val="10"/>
      <color theme="1"/>
      <name val="Arial"/>
      <family val="2"/>
    </font>
    <font>
      <sz val="11"/>
      <color theme="1"/>
      <name val="Calibri"/>
      <family val="2"/>
      <scheme val="minor"/>
    </font>
    <font>
      <b/>
      <sz val="12"/>
      <color theme="1"/>
      <name val="Arial Narrow"/>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sz val="10"/>
      <name val="Arial"/>
      <family val="2"/>
    </font>
    <font>
      <b/>
      <sz val="12"/>
      <name val="Arial Narrow"/>
      <family val="2"/>
    </font>
    <font>
      <sz val="12"/>
      <name val="Arial Narrow"/>
      <family val="2"/>
    </font>
    <font>
      <b/>
      <sz val="10"/>
      <name val="Calibri"/>
      <family val="2"/>
    </font>
    <font>
      <b/>
      <vertAlign val="superscript"/>
      <sz val="10"/>
      <color theme="1"/>
      <name val="Arial Narrow"/>
      <family val="2"/>
    </font>
    <font>
      <vertAlign val="superscript"/>
      <sz val="10"/>
      <name val="Arial Narrow"/>
      <family val="2"/>
    </font>
    <font>
      <b/>
      <vertAlign val="superscript"/>
      <sz val="10"/>
      <name val="Arial Narrow"/>
      <family val="2"/>
    </font>
    <font>
      <b/>
      <sz val="10"/>
      <color theme="1"/>
      <name val="Arial"/>
      <family val="2"/>
    </font>
    <font>
      <sz val="10"/>
      <color theme="1"/>
      <name val="Arial"/>
      <family val="2"/>
    </font>
    <font>
      <vertAlign val="superscript"/>
      <sz val="10"/>
      <color theme="1"/>
      <name val="Arial Narrow"/>
      <family val="2"/>
    </font>
    <font>
      <u/>
      <sz val="10"/>
      <color theme="1"/>
      <name val="Arial Narrow"/>
      <family val="2"/>
    </font>
    <font>
      <sz val="10"/>
      <color rgb="FFFF0000"/>
      <name val="Arial Narrow"/>
      <family val="2"/>
    </font>
    <font>
      <b/>
      <sz val="10"/>
      <color rgb="FFFF0000"/>
      <name val="Calibri"/>
      <family val="2"/>
    </font>
    <font>
      <u/>
      <sz val="10"/>
      <color theme="10"/>
      <name val="Arial"/>
      <family val="2"/>
    </font>
    <font>
      <sz val="7"/>
      <color theme="1"/>
      <name val="Arial Narrow"/>
      <family val="2"/>
    </font>
    <font>
      <b/>
      <sz val="7.5"/>
      <color theme="1"/>
      <name val="Arial Narrow"/>
      <family val="2"/>
    </font>
    <font>
      <sz val="7.5"/>
      <color theme="1"/>
      <name val="Arial Narrow"/>
      <family val="2"/>
    </font>
    <font>
      <b/>
      <sz val="7.5"/>
      <name val="Arial Narrow"/>
      <family val="2"/>
    </font>
    <font>
      <sz val="7.5"/>
      <name val="Arial Narrow"/>
      <family val="2"/>
    </font>
    <font>
      <b/>
      <sz val="11"/>
      <name val="Calibri"/>
      <family val="2"/>
      <scheme val="minor"/>
    </font>
    <font>
      <sz val="11"/>
      <name val="Calibri"/>
      <family val="2"/>
      <scheme val="minor"/>
    </font>
    <font>
      <vertAlign val="superscript"/>
      <sz val="7.5"/>
      <name val="Arial Narrow"/>
      <family val="2"/>
    </font>
    <font>
      <b/>
      <vertAlign val="superscript"/>
      <sz val="7.5"/>
      <name val="Arial Narrow"/>
      <family val="2"/>
    </font>
    <font>
      <i/>
      <sz val="7.5"/>
      <name val="Arial Narrow"/>
      <family val="2"/>
    </font>
    <font>
      <sz val="7.5"/>
      <color theme="1"/>
      <name val="Symbol"/>
      <family val="1"/>
      <charset val="2"/>
    </font>
    <font>
      <b/>
      <sz val="7.5"/>
      <name val="Symbol"/>
      <family val="1"/>
      <charset val="2"/>
    </font>
    <font>
      <b/>
      <sz val="11.25"/>
      <name val="Arial Narrow"/>
      <family val="2"/>
    </font>
    <font>
      <sz val="10"/>
      <color theme="6" tint="-0.249977111117893"/>
      <name val="Arial Narrow"/>
      <family val="2"/>
    </font>
    <font>
      <sz val="10"/>
      <color theme="5" tint="-0.249977111117893"/>
      <name val="Arial Narrow"/>
      <family val="2"/>
    </font>
    <font>
      <sz val="7.5"/>
      <color theme="6" tint="-0.249977111117893"/>
      <name val="Arial Narrow"/>
      <family val="2"/>
    </font>
    <font>
      <sz val="7.5"/>
      <color theme="5" tint="-0.249977111117893"/>
      <name val="Arial Narrow"/>
      <family val="2"/>
    </font>
    <font>
      <b/>
      <i/>
      <sz val="10"/>
      <color theme="1"/>
      <name val="Arial Narrow"/>
      <family val="2"/>
    </font>
    <font>
      <b/>
      <i/>
      <vertAlign val="superscript"/>
      <sz val="10"/>
      <color theme="1"/>
      <name val="Arial Narrow"/>
      <family val="2"/>
    </font>
    <font>
      <i/>
      <sz val="10"/>
      <color theme="1"/>
      <name val="Arial Narrow"/>
      <family val="2"/>
    </font>
    <font>
      <i/>
      <sz val="10"/>
      <name val="Arial Narrow"/>
      <family val="2"/>
    </font>
    <font>
      <i/>
      <sz val="10"/>
      <name val="Symbol"/>
      <family val="1"/>
      <charset val="2"/>
    </font>
    <font>
      <i/>
      <sz val="10"/>
      <color theme="1"/>
      <name val="Arial"/>
      <family val="2"/>
    </font>
    <font>
      <b/>
      <sz val="11"/>
      <color theme="1"/>
      <name val="Calibri"/>
      <family val="2"/>
      <scheme val="minor"/>
    </font>
    <font>
      <sz val="7.5"/>
      <name val="Symbol"/>
      <family val="1"/>
      <charset val="2"/>
    </font>
  </fonts>
  <fills count="8">
    <fill>
      <patternFill patternType="none"/>
    </fill>
    <fill>
      <patternFill patternType="gray125"/>
    </fill>
    <fill>
      <patternFill patternType="solid">
        <fgColor theme="0"/>
        <bgColor indexed="64"/>
      </patternFill>
    </fill>
    <fill>
      <patternFill patternType="solid">
        <fgColor rgb="FFAAD7FF"/>
        <bgColor indexed="64"/>
      </patternFill>
    </fill>
    <fill>
      <patternFill patternType="solid">
        <fgColor rgb="FFC6EFCE"/>
        <bgColor indexed="64"/>
      </patternFill>
    </fill>
    <fill>
      <patternFill patternType="solid">
        <fgColor theme="5" tint="0.59999389629810485"/>
        <bgColor indexed="64"/>
      </patternFill>
    </fill>
    <fill>
      <patternFill patternType="solid">
        <fgColor rgb="FFE6B8B7"/>
        <bgColor indexed="64"/>
      </patternFill>
    </fill>
    <fill>
      <gradientFill degree="90">
        <stop position="0">
          <color rgb="FFE6B8B7"/>
        </stop>
        <stop position="1">
          <color rgb="FFC6EFCE"/>
        </stop>
      </gradientFill>
    </fill>
  </fills>
  <borders count="8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style="hair">
        <color auto="1"/>
      </right>
      <top/>
      <bottom/>
      <diagonal/>
    </border>
    <border>
      <left/>
      <right style="hair">
        <color auto="1"/>
      </right>
      <top/>
      <bottom style="thin">
        <color auto="1"/>
      </bottom>
      <diagonal/>
    </border>
    <border>
      <left/>
      <right/>
      <top style="hair">
        <color auto="1"/>
      </top>
      <bottom style="hair">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bottom/>
      <diagonal/>
    </border>
    <border>
      <left style="thin">
        <color auto="1"/>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right style="thin">
        <color auto="1"/>
      </right>
      <top style="hair">
        <color auto="1"/>
      </top>
      <bottom/>
      <diagonal/>
    </border>
    <border>
      <left style="hair">
        <color auto="1"/>
      </left>
      <right/>
      <top/>
      <bottom style="thin">
        <color auto="1"/>
      </bottom>
      <diagonal/>
    </border>
    <border>
      <left style="thin">
        <color auto="1"/>
      </left>
      <right style="thin">
        <color auto="1"/>
      </right>
      <top style="thin">
        <color auto="1"/>
      </top>
      <bottom style="thin">
        <color auto="1"/>
      </bottom>
      <diagonal/>
    </border>
  </borders>
  <cellStyleXfs count="5">
    <xf numFmtId="0" fontId="0" fillId="0" borderId="0"/>
    <xf numFmtId="0" fontId="7" fillId="0" borderId="0"/>
    <xf numFmtId="9" fontId="16" fillId="0" borderId="0" applyFont="0" applyFill="0" applyBorder="0" applyAlignment="0" applyProtection="0"/>
    <xf numFmtId="0" fontId="21" fillId="0" borderId="0" applyNumberFormat="0" applyFill="0" applyBorder="0" applyAlignment="0" applyProtection="0"/>
    <xf numFmtId="0" fontId="1" fillId="0" borderId="0"/>
  </cellStyleXfs>
  <cellXfs count="848">
    <xf numFmtId="0" fontId="0" fillId="0" borderId="0" xfId="0"/>
    <xf numFmtId="0" fontId="2" fillId="0" borderId="0" xfId="0" applyFont="1"/>
    <xf numFmtId="0" fontId="3" fillId="0" borderId="0" xfId="0" applyFont="1"/>
    <xf numFmtId="0" fontId="3" fillId="0" borderId="0" xfId="0" applyFont="1" applyAlignment="1">
      <alignment horizontal="right" vertical="center"/>
    </xf>
    <xf numFmtId="164" fontId="3" fillId="0" borderId="19" xfId="0" applyNumberFormat="1" applyFont="1" applyBorder="1" applyAlignment="1">
      <alignment horizontal="right" vertical="center"/>
    </xf>
    <xf numFmtId="0" fontId="3" fillId="0" borderId="19" xfId="0" applyFont="1" applyBorder="1" applyAlignment="1">
      <alignment horizontal="right" vertical="center"/>
    </xf>
    <xf numFmtId="0" fontId="3" fillId="0" borderId="0" xfId="0" applyFont="1" applyAlignment="1">
      <alignment horizontal="right" vertical="center" indent="1"/>
    </xf>
    <xf numFmtId="0" fontId="3" fillId="0" borderId="0" xfId="0" applyFont="1" applyAlignment="1">
      <alignment horizontal="right"/>
    </xf>
    <xf numFmtId="0" fontId="3" fillId="0" borderId="0" xfId="0" applyFont="1" applyFill="1"/>
    <xf numFmtId="0" fontId="3" fillId="0" borderId="0" xfId="0" applyFont="1" applyFill="1" applyAlignment="1">
      <alignment horizontal="right" vertical="center"/>
    </xf>
    <xf numFmtId="164" fontId="3" fillId="0" borderId="19" xfId="0" applyNumberFormat="1" applyFont="1" applyFill="1" applyBorder="1" applyAlignment="1">
      <alignment horizontal="right" vertical="center"/>
    </xf>
    <xf numFmtId="0" fontId="3" fillId="0" borderId="0" xfId="0" applyFont="1" applyAlignment="1">
      <alignment horizontal="left" vertical="center"/>
    </xf>
    <xf numFmtId="0" fontId="3" fillId="0" borderId="4" xfId="0" applyFont="1" applyBorder="1"/>
    <xf numFmtId="0" fontId="4" fillId="0" borderId="13" xfId="0" applyFont="1" applyBorder="1" applyAlignment="1">
      <alignment horizontal="right" wrapText="1"/>
    </xf>
    <xf numFmtId="0" fontId="3" fillId="0" borderId="0" xfId="0" applyFont="1" applyBorder="1" applyAlignment="1">
      <alignment horizontal="right"/>
    </xf>
    <xf numFmtId="0" fontId="3" fillId="0" borderId="0" xfId="0" applyFont="1" applyBorder="1" applyAlignment="1">
      <alignment vertical="center"/>
    </xf>
    <xf numFmtId="0" fontId="3" fillId="0" borderId="0" xfId="0" applyFont="1" applyFill="1" applyBorder="1" applyAlignment="1">
      <alignment vertical="center"/>
    </xf>
    <xf numFmtId="0" fontId="3" fillId="0" borderId="7" xfId="0" applyFont="1" applyFill="1" applyBorder="1" applyAlignment="1">
      <alignment horizontal="right"/>
    </xf>
    <xf numFmtId="0" fontId="3" fillId="0" borderId="17" xfId="0" applyFont="1" applyFill="1" applyBorder="1" applyAlignment="1">
      <alignment horizontal="right"/>
    </xf>
    <xf numFmtId="0" fontId="4" fillId="0" borderId="6" xfId="0" applyFont="1" applyBorder="1" applyAlignment="1">
      <alignment horizontal="right" wrapText="1"/>
    </xf>
    <xf numFmtId="0" fontId="4" fillId="0" borderId="5" xfId="0" applyFont="1" applyBorder="1" applyAlignment="1">
      <alignment horizontal="right"/>
    </xf>
    <xf numFmtId="164" fontId="3" fillId="0" borderId="7" xfId="0" applyNumberFormat="1" applyFont="1" applyBorder="1" applyAlignment="1">
      <alignment horizontal="right"/>
    </xf>
    <xf numFmtId="164" fontId="3" fillId="0" borderId="8" xfId="0" applyNumberFormat="1" applyFont="1" applyBorder="1" applyAlignment="1">
      <alignment horizontal="right"/>
    </xf>
    <xf numFmtId="166" fontId="3" fillId="3" borderId="9" xfId="0" applyNumberFormat="1" applyFont="1" applyFill="1" applyBorder="1" applyAlignment="1">
      <alignment horizontal="right"/>
    </xf>
    <xf numFmtId="3" fontId="3" fillId="0" borderId="8" xfId="0" applyNumberFormat="1" applyFont="1" applyBorder="1" applyAlignment="1">
      <alignment horizontal="right"/>
    </xf>
    <xf numFmtId="3" fontId="3" fillId="3" borderId="9" xfId="0" applyNumberFormat="1" applyFont="1" applyFill="1" applyBorder="1" applyAlignment="1">
      <alignment horizontal="right"/>
    </xf>
    <xf numFmtId="164" fontId="3" fillId="0" borderId="8" xfId="0" applyNumberFormat="1" applyFont="1" applyFill="1" applyBorder="1" applyAlignment="1">
      <alignment horizontal="right"/>
    </xf>
    <xf numFmtId="164" fontId="3" fillId="0" borderId="7" xfId="0" applyNumberFormat="1" applyFont="1" applyFill="1" applyBorder="1" applyAlignment="1">
      <alignment horizontal="right"/>
    </xf>
    <xf numFmtId="0" fontId="4" fillId="0" borderId="14" xfId="0" applyFont="1" applyBorder="1" applyAlignment="1">
      <alignment horizontal="right" wrapText="1"/>
    </xf>
    <xf numFmtId="0" fontId="4" fillId="3" borderId="15" xfId="0" applyFont="1" applyFill="1" applyBorder="1" applyAlignment="1">
      <alignment horizontal="right" wrapText="1"/>
    </xf>
    <xf numFmtId="0" fontId="4" fillId="0" borderId="13" xfId="0" applyFont="1" applyFill="1" applyBorder="1" applyAlignment="1">
      <alignment horizontal="right" wrapText="1"/>
    </xf>
    <xf numFmtId="0" fontId="4" fillId="0" borderId="16" xfId="0" applyFont="1" applyFill="1" applyBorder="1" applyAlignment="1">
      <alignment horizontal="right" wrapText="1"/>
    </xf>
    <xf numFmtId="0" fontId="4" fillId="0" borderId="14" xfId="0" applyFont="1" applyFill="1" applyBorder="1" applyAlignment="1">
      <alignment horizontal="right" wrapText="1"/>
    </xf>
    <xf numFmtId="166" fontId="5" fillId="3" borderId="9" xfId="0" applyNumberFormat="1" applyFont="1" applyFill="1" applyBorder="1" applyAlignment="1">
      <alignment horizontal="right"/>
    </xf>
    <xf numFmtId="0" fontId="3" fillId="0" borderId="0" xfId="0" applyFont="1" applyAlignment="1">
      <alignment horizontal="left"/>
    </xf>
    <xf numFmtId="0" fontId="6" fillId="0" borderId="13" xfId="0" applyFont="1" applyFill="1" applyBorder="1" applyAlignment="1">
      <alignment horizontal="right" wrapText="1"/>
    </xf>
    <xf numFmtId="164" fontId="5" fillId="0" borderId="8" xfId="0" applyNumberFormat="1" applyFont="1" applyFill="1" applyBorder="1" applyAlignment="1">
      <alignment horizontal="right"/>
    </xf>
    <xf numFmtId="0" fontId="7" fillId="0" borderId="0" xfId="1"/>
    <xf numFmtId="0" fontId="8" fillId="0" borderId="0" xfId="1" applyFont="1"/>
    <xf numFmtId="0" fontId="5" fillId="0" borderId="0" xfId="1" applyFont="1"/>
    <xf numFmtId="0" fontId="9" fillId="0" borderId="0" xfId="1" applyFont="1" applyAlignment="1"/>
    <xf numFmtId="0" fontId="10" fillId="0" borderId="0" xfId="1" applyFont="1"/>
    <xf numFmtId="0" fontId="9" fillId="0" borderId="0" xfId="1" applyFont="1" applyBorder="1" applyAlignment="1"/>
    <xf numFmtId="0" fontId="5" fillId="0" borderId="0" xfId="1" applyFont="1" applyBorder="1"/>
    <xf numFmtId="0" fontId="8" fillId="0" borderId="0" xfId="1" applyFont="1" applyBorder="1"/>
    <xf numFmtId="0" fontId="7" fillId="0" borderId="0" xfId="1" applyBorder="1"/>
    <xf numFmtId="164" fontId="3" fillId="0" borderId="0" xfId="0" applyNumberFormat="1" applyFont="1"/>
    <xf numFmtId="164" fontId="5" fillId="0" borderId="19" xfId="1" applyNumberFormat="1" applyFont="1" applyBorder="1" applyAlignment="1">
      <alignment horizontal="right"/>
    </xf>
    <xf numFmtId="0" fontId="5" fillId="0" borderId="0" xfId="1" applyFont="1" applyAlignment="1"/>
    <xf numFmtId="164" fontId="5" fillId="0" borderId="19" xfId="1" applyNumberFormat="1" applyFont="1" applyFill="1" applyBorder="1" applyAlignment="1">
      <alignment horizontal="right"/>
    </xf>
    <xf numFmtId="0" fontId="5" fillId="0" borderId="0" xfId="1" applyFont="1" applyFill="1" applyAlignment="1"/>
    <xf numFmtId="0" fontId="10" fillId="0" borderId="0" xfId="1" applyFont="1" applyBorder="1" applyAlignment="1">
      <alignment horizontal="left" wrapText="1"/>
    </xf>
    <xf numFmtId="0" fontId="5" fillId="0" borderId="0" xfId="1" applyFont="1" applyBorder="1" applyAlignment="1">
      <alignment horizontal="left" wrapText="1"/>
    </xf>
    <xf numFmtId="0" fontId="8" fillId="0" borderId="0" xfId="1" applyFont="1" applyBorder="1" applyAlignment="1">
      <alignment horizontal="left" wrapText="1"/>
    </xf>
    <xf numFmtId="0" fontId="7" fillId="0" borderId="0" xfId="1" applyBorder="1" applyAlignment="1">
      <alignment horizontal="left" wrapText="1"/>
    </xf>
    <xf numFmtId="164" fontId="5" fillId="0" borderId="19" xfId="0" applyNumberFormat="1" applyFont="1" applyBorder="1" applyAlignment="1">
      <alignment horizontal="right"/>
    </xf>
    <xf numFmtId="164" fontId="5" fillId="0" borderId="19" xfId="0" applyNumberFormat="1" applyFont="1" applyFill="1" applyBorder="1" applyAlignment="1">
      <alignment horizontal="right"/>
    </xf>
    <xf numFmtId="0" fontId="4" fillId="0" borderId="0" xfId="0" applyFont="1"/>
    <xf numFmtId="0" fontId="3" fillId="0" borderId="0" xfId="0" applyFont="1" applyBorder="1"/>
    <xf numFmtId="164" fontId="5" fillId="0" borderId="19" xfId="0" applyNumberFormat="1" applyFont="1" applyBorder="1" applyAlignment="1">
      <alignment horizontal="right" vertical="center"/>
    </xf>
    <xf numFmtId="0" fontId="3" fillId="0" borderId="0" xfId="0" applyFont="1" applyAlignment="1">
      <alignment horizontal="left" wrapText="1"/>
    </xf>
    <xf numFmtId="0" fontId="5" fillId="0" borderId="0" xfId="0" applyFont="1" applyAlignment="1">
      <alignment horizontal="right" vertical="center"/>
    </xf>
    <xf numFmtId="0" fontId="5" fillId="0" borderId="0" xfId="0" applyFont="1" applyFill="1" applyAlignment="1">
      <alignment horizontal="right" vertical="center"/>
    </xf>
    <xf numFmtId="0" fontId="13" fillId="0" borderId="0" xfId="1" applyFont="1"/>
    <xf numFmtId="164" fontId="5" fillId="0" borderId="19" xfId="0" applyNumberFormat="1" applyFont="1" applyFill="1" applyBorder="1" applyAlignment="1">
      <alignment horizontal="right" vertical="center"/>
    </xf>
    <xf numFmtId="0" fontId="5" fillId="0" borderId="0" xfId="1" applyFont="1" applyFill="1"/>
    <xf numFmtId="0" fontId="3" fillId="0" borderId="0" xfId="0" applyFont="1" applyAlignment="1">
      <alignment horizontal="left" vertical="top" wrapText="1"/>
    </xf>
    <xf numFmtId="165" fontId="3" fillId="0" borderId="0" xfId="0" applyNumberFormat="1" applyFont="1" applyAlignment="1">
      <alignment horizontal="right" vertical="center" indent="1"/>
    </xf>
    <xf numFmtId="164" fontId="3" fillId="0" borderId="34" xfId="0" applyNumberFormat="1" applyFont="1" applyBorder="1" applyAlignment="1">
      <alignment horizontal="right" vertical="center"/>
    </xf>
    <xf numFmtId="164" fontId="3" fillId="0" borderId="35" xfId="0" applyNumberFormat="1" applyFont="1" applyBorder="1" applyAlignment="1">
      <alignment horizontal="right" vertical="center"/>
    </xf>
    <xf numFmtId="166" fontId="3" fillId="0" borderId="35" xfId="0" applyNumberFormat="1" applyFont="1" applyBorder="1" applyAlignment="1">
      <alignment horizontal="right" vertical="center"/>
    </xf>
    <xf numFmtId="166" fontId="3" fillId="2" borderId="35" xfId="0" applyNumberFormat="1" applyFont="1" applyFill="1" applyBorder="1" applyAlignment="1">
      <alignment horizontal="right" vertical="center"/>
    </xf>
    <xf numFmtId="164" fontId="3" fillId="0" borderId="34" xfId="0" applyNumberFormat="1" applyFont="1" applyFill="1" applyBorder="1" applyAlignment="1">
      <alignment horizontal="right" vertical="center"/>
    </xf>
    <xf numFmtId="164" fontId="3" fillId="0" borderId="35" xfId="0" applyNumberFormat="1" applyFont="1" applyFill="1" applyBorder="1" applyAlignment="1">
      <alignment horizontal="right" vertical="center"/>
    </xf>
    <xf numFmtId="166" fontId="3" fillId="0" borderId="35" xfId="2" applyNumberFormat="1" applyFont="1" applyBorder="1" applyAlignment="1">
      <alignment horizontal="right" vertical="center"/>
    </xf>
    <xf numFmtId="166" fontId="3" fillId="0" borderId="35" xfId="2" applyNumberFormat="1" applyFont="1" applyFill="1" applyBorder="1" applyAlignment="1">
      <alignment horizontal="right" vertical="center"/>
    </xf>
    <xf numFmtId="164" fontId="3" fillId="0" borderId="38" xfId="0" applyNumberFormat="1" applyFont="1" applyBorder="1" applyAlignment="1">
      <alignment horizontal="right"/>
    </xf>
    <xf numFmtId="164" fontId="5" fillId="0" borderId="39" xfId="1" applyNumberFormat="1" applyFont="1" applyBorder="1" applyAlignment="1">
      <alignment horizontal="right"/>
    </xf>
    <xf numFmtId="164" fontId="3" fillId="0" borderId="34" xfId="0" applyNumberFormat="1" applyFont="1" applyBorder="1" applyAlignment="1">
      <alignment horizontal="right"/>
    </xf>
    <xf numFmtId="164" fontId="5" fillId="0" borderId="35" xfId="1" applyNumberFormat="1" applyFont="1" applyBorder="1" applyAlignment="1">
      <alignment horizontal="right"/>
    </xf>
    <xf numFmtId="164" fontId="3" fillId="0" borderId="34" xfId="0" applyNumberFormat="1" applyFont="1" applyFill="1" applyBorder="1" applyAlignment="1">
      <alignment horizontal="right"/>
    </xf>
    <xf numFmtId="164" fontId="5" fillId="0" borderId="35" xfId="1" applyNumberFormat="1" applyFont="1" applyFill="1" applyBorder="1" applyAlignment="1">
      <alignment horizontal="right"/>
    </xf>
    <xf numFmtId="164" fontId="5" fillId="0" borderId="34" xfId="0" applyNumberFormat="1" applyFont="1" applyFill="1" applyBorder="1" applyAlignment="1">
      <alignment horizontal="right"/>
    </xf>
    <xf numFmtId="164" fontId="5" fillId="0" borderId="34" xfId="0" applyNumberFormat="1" applyFont="1" applyBorder="1" applyAlignment="1">
      <alignment horizontal="right"/>
    </xf>
    <xf numFmtId="164" fontId="5" fillId="4" borderId="38" xfId="1" applyNumberFormat="1" applyFont="1" applyFill="1" applyBorder="1" applyAlignment="1">
      <alignment horizontal="right"/>
    </xf>
    <xf numFmtId="164" fontId="5" fillId="5" borderId="34" xfId="1" applyNumberFormat="1" applyFont="1" applyFill="1" applyBorder="1" applyAlignment="1">
      <alignment horizontal="right"/>
    </xf>
    <xf numFmtId="164" fontId="5" fillId="4" borderId="34" xfId="1" applyNumberFormat="1" applyFont="1" applyFill="1" applyBorder="1" applyAlignment="1">
      <alignment horizontal="right"/>
    </xf>
    <xf numFmtId="164" fontId="5" fillId="0" borderId="38" xfId="1" applyNumberFormat="1" applyFont="1" applyBorder="1" applyAlignment="1">
      <alignment horizontal="right"/>
    </xf>
    <xf numFmtId="166" fontId="5" fillId="0" borderId="39" xfId="2" applyNumberFormat="1" applyFont="1" applyBorder="1" applyAlignment="1">
      <alignment horizontal="right"/>
    </xf>
    <xf numFmtId="164" fontId="5" fillId="0" borderId="34" xfId="1" applyNumberFormat="1" applyFont="1" applyBorder="1" applyAlignment="1">
      <alignment horizontal="right"/>
    </xf>
    <xf numFmtId="166" fontId="5" fillId="0" borderId="35" xfId="2" applyNumberFormat="1" applyFont="1" applyBorder="1" applyAlignment="1">
      <alignment horizontal="right"/>
    </xf>
    <xf numFmtId="164" fontId="5" fillId="0" borderId="34" xfId="1" applyNumberFormat="1" applyFont="1" applyFill="1" applyBorder="1" applyAlignment="1">
      <alignment horizontal="right"/>
    </xf>
    <xf numFmtId="166" fontId="5" fillId="0" borderId="35" xfId="2" applyNumberFormat="1" applyFont="1" applyFill="1" applyBorder="1" applyAlignment="1">
      <alignment horizontal="right"/>
    </xf>
    <xf numFmtId="0" fontId="4" fillId="0" borderId="37" xfId="0" applyFont="1" applyBorder="1" applyAlignment="1">
      <alignment horizontal="left" vertical="top" wrapText="1"/>
    </xf>
    <xf numFmtId="164" fontId="5" fillId="0" borderId="33" xfId="1" applyNumberFormat="1" applyFont="1" applyFill="1" applyBorder="1" applyAlignment="1">
      <alignment horizontal="right"/>
    </xf>
    <xf numFmtId="164" fontId="5" fillId="0" borderId="33" xfId="1" applyNumberFormat="1" applyFont="1" applyBorder="1" applyAlignment="1">
      <alignment horizontal="right"/>
    </xf>
    <xf numFmtId="164" fontId="5" fillId="0" borderId="33" xfId="1" applyNumberFormat="1" applyFont="1" applyBorder="1" applyAlignment="1">
      <alignment horizontal="left" wrapText="1"/>
    </xf>
    <xf numFmtId="164" fontId="5" fillId="0" borderId="33" xfId="1" applyNumberFormat="1" applyFont="1" applyFill="1" applyBorder="1" applyAlignment="1">
      <alignment horizontal="left" wrapText="1"/>
    </xf>
    <xf numFmtId="164" fontId="4" fillId="0" borderId="38" xfId="0" applyNumberFormat="1" applyFont="1" applyBorder="1" applyAlignment="1">
      <alignment horizontal="left" wrapText="1"/>
    </xf>
    <xf numFmtId="164" fontId="4" fillId="0" borderId="39" xfId="0" applyNumberFormat="1" applyFont="1" applyBorder="1" applyAlignment="1">
      <alignment horizontal="left" vertical="center" wrapText="1"/>
    </xf>
    <xf numFmtId="164" fontId="4" fillId="0" borderId="38" xfId="0" applyNumberFormat="1" applyFont="1" applyBorder="1" applyAlignment="1">
      <alignment horizontal="left" vertical="center" wrapText="1"/>
    </xf>
    <xf numFmtId="164" fontId="4" fillId="0" borderId="37" xfId="0" applyNumberFormat="1" applyFont="1" applyBorder="1" applyAlignment="1">
      <alignment horizontal="left" wrapText="1"/>
    </xf>
    <xf numFmtId="164" fontId="5" fillId="0" borderId="34" xfId="0" applyNumberFormat="1" applyFont="1" applyFill="1" applyBorder="1" applyAlignment="1">
      <alignment horizontal="right" vertical="center"/>
    </xf>
    <xf numFmtId="164" fontId="5" fillId="0" borderId="35" xfId="0" applyNumberFormat="1" applyFont="1" applyFill="1" applyBorder="1" applyAlignment="1">
      <alignment horizontal="right" vertical="center"/>
    </xf>
    <xf numFmtId="164" fontId="5" fillId="0" borderId="34" xfId="0" applyNumberFormat="1" applyFont="1" applyBorder="1" applyAlignment="1">
      <alignment horizontal="right" vertical="center"/>
    </xf>
    <xf numFmtId="164" fontId="5" fillId="0" borderId="35" xfId="0" applyNumberFormat="1" applyFont="1" applyBorder="1" applyAlignment="1">
      <alignment horizontal="right" vertical="center"/>
    </xf>
    <xf numFmtId="164" fontId="3" fillId="4" borderId="35" xfId="0" applyNumberFormat="1" applyFont="1" applyFill="1" applyBorder="1" applyAlignment="1">
      <alignment horizontal="right" vertical="center"/>
    </xf>
    <xf numFmtId="164" fontId="5" fillId="4" borderId="35" xfId="0" applyNumberFormat="1" applyFont="1" applyFill="1" applyBorder="1" applyAlignment="1">
      <alignment horizontal="right" vertical="center"/>
    </xf>
    <xf numFmtId="166" fontId="5" fillId="0" borderId="35" xfId="2" applyNumberFormat="1" applyFont="1" applyFill="1" applyBorder="1" applyAlignment="1">
      <alignment horizontal="right" vertical="center"/>
    </xf>
    <xf numFmtId="166" fontId="5" fillId="0" borderId="35" xfId="2" applyNumberFormat="1" applyFont="1" applyBorder="1" applyAlignment="1">
      <alignment horizontal="right" vertical="center"/>
    </xf>
    <xf numFmtId="165" fontId="5" fillId="0" borderId="34" xfId="0" applyNumberFormat="1" applyFont="1" applyBorder="1" applyAlignment="1">
      <alignment horizontal="right" vertical="center"/>
    </xf>
    <xf numFmtId="0" fontId="3" fillId="0" borderId="0" xfId="0" applyFont="1" applyBorder="1" applyAlignment="1">
      <alignment horizontal="left" wrapText="1"/>
    </xf>
    <xf numFmtId="164" fontId="5" fillId="0" borderId="22" xfId="0" applyNumberFormat="1" applyFont="1" applyBorder="1" applyAlignment="1">
      <alignment horizontal="right"/>
    </xf>
    <xf numFmtId="164" fontId="5" fillId="0" borderId="0" xfId="1" applyNumberFormat="1" applyFont="1" applyBorder="1" applyAlignment="1">
      <alignment horizontal="left" wrapText="1"/>
    </xf>
    <xf numFmtId="164" fontId="3" fillId="0" borderId="33" xfId="0" applyNumberFormat="1" applyFont="1" applyBorder="1" applyAlignment="1">
      <alignment horizontal="right"/>
    </xf>
    <xf numFmtId="164" fontId="3" fillId="0" borderId="40" xfId="0" applyNumberFormat="1" applyFont="1" applyBorder="1" applyAlignment="1">
      <alignment horizontal="right"/>
    </xf>
    <xf numFmtId="164" fontId="5" fillId="0" borderId="41" xfId="1" applyNumberFormat="1" applyFont="1" applyBorder="1" applyAlignment="1">
      <alignment horizontal="right"/>
    </xf>
    <xf numFmtId="164" fontId="5" fillId="4" borderId="40" xfId="1" applyNumberFormat="1" applyFont="1" applyFill="1" applyBorder="1" applyAlignment="1">
      <alignment horizontal="right"/>
    </xf>
    <xf numFmtId="164" fontId="5" fillId="0" borderId="22" xfId="1" applyNumberFormat="1" applyFont="1" applyBorder="1" applyAlignment="1">
      <alignment horizontal="right"/>
    </xf>
    <xf numFmtId="164" fontId="5" fillId="0" borderId="40" xfId="1" applyNumberFormat="1" applyFont="1" applyBorder="1" applyAlignment="1">
      <alignment horizontal="right"/>
    </xf>
    <xf numFmtId="166" fontId="5" fillId="0" borderId="41" xfId="2" applyNumberFormat="1" applyFont="1" applyBorder="1" applyAlignment="1">
      <alignment horizontal="right"/>
    </xf>
    <xf numFmtId="164" fontId="5" fillId="0" borderId="36" xfId="1" applyNumberFormat="1" applyFont="1" applyBorder="1" applyAlignment="1">
      <alignment horizontal="right"/>
    </xf>
    <xf numFmtId="164" fontId="5" fillId="0" borderId="36" xfId="1" applyNumberFormat="1" applyFont="1" applyBorder="1" applyAlignment="1">
      <alignment horizontal="left" wrapText="1"/>
    </xf>
    <xf numFmtId="164" fontId="3" fillId="0" borderId="43" xfId="0" applyNumberFormat="1" applyFont="1" applyBorder="1" applyAlignment="1">
      <alignment horizontal="right"/>
    </xf>
    <xf numFmtId="164" fontId="5" fillId="0" borderId="44" xfId="0" applyNumberFormat="1" applyFont="1" applyBorder="1" applyAlignment="1">
      <alignment horizontal="right"/>
    </xf>
    <xf numFmtId="164" fontId="5" fillId="0" borderId="45" xfId="1" applyNumberFormat="1" applyFont="1" applyBorder="1" applyAlignment="1">
      <alignment horizontal="right"/>
    </xf>
    <xf numFmtId="164" fontId="5" fillId="4" borderId="43" xfId="1" applyNumberFormat="1" applyFont="1" applyFill="1" applyBorder="1" applyAlignment="1">
      <alignment horizontal="right"/>
    </xf>
    <xf numFmtId="164" fontId="5" fillId="0" borderId="44" xfId="1" applyNumberFormat="1" applyFont="1" applyBorder="1" applyAlignment="1">
      <alignment horizontal="right"/>
    </xf>
    <xf numFmtId="164" fontId="5" fillId="0" borderId="43" xfId="1" applyNumberFormat="1" applyFont="1" applyBorder="1" applyAlignment="1">
      <alignment horizontal="right"/>
    </xf>
    <xf numFmtId="166" fontId="5" fillId="0" borderId="45" xfId="2" applyNumberFormat="1" applyFont="1" applyBorder="1" applyAlignment="1">
      <alignment horizontal="right"/>
    </xf>
    <xf numFmtId="164" fontId="5" fillId="0" borderId="42" xfId="1" applyNumberFormat="1" applyFont="1" applyBorder="1" applyAlignment="1">
      <alignment horizontal="right"/>
    </xf>
    <xf numFmtId="164" fontId="5" fillId="0" borderId="42" xfId="1" applyNumberFormat="1" applyFont="1" applyBorder="1" applyAlignment="1">
      <alignment horizontal="left" wrapText="1"/>
    </xf>
    <xf numFmtId="164" fontId="3" fillId="0" borderId="40" xfId="0" applyNumberFormat="1" applyFont="1" applyFill="1" applyBorder="1" applyAlignment="1">
      <alignment horizontal="right"/>
    </xf>
    <xf numFmtId="164" fontId="5" fillId="0" borderId="22" xfId="0" applyNumberFormat="1" applyFont="1" applyFill="1" applyBorder="1" applyAlignment="1">
      <alignment horizontal="right"/>
    </xf>
    <xf numFmtId="164" fontId="5" fillId="0" borderId="41" xfId="1" applyNumberFormat="1" applyFont="1" applyFill="1" applyBorder="1" applyAlignment="1">
      <alignment horizontal="right"/>
    </xf>
    <xf numFmtId="164" fontId="5" fillId="0" borderId="22" xfId="1" applyNumberFormat="1" applyFont="1" applyFill="1" applyBorder="1" applyAlignment="1">
      <alignment horizontal="right"/>
    </xf>
    <xf numFmtId="164" fontId="5" fillId="0" borderId="43" xfId="0" applyNumberFormat="1" applyFont="1" applyBorder="1" applyAlignment="1">
      <alignment horizontal="right"/>
    </xf>
    <xf numFmtId="164" fontId="5" fillId="0" borderId="40" xfId="0" applyNumberFormat="1" applyFont="1" applyFill="1" applyBorder="1" applyAlignment="1">
      <alignment horizontal="right"/>
    </xf>
    <xf numFmtId="164" fontId="5" fillId="0" borderId="36" xfId="1" applyNumberFormat="1" applyFont="1" applyFill="1" applyBorder="1" applyAlignment="1">
      <alignment horizontal="left" wrapText="1"/>
    </xf>
    <xf numFmtId="164" fontId="3" fillId="0" borderId="43" xfId="0" applyNumberFormat="1" applyFont="1" applyFill="1" applyBorder="1" applyAlignment="1">
      <alignment horizontal="right"/>
    </xf>
    <xf numFmtId="164" fontId="5" fillId="0" borderId="44" xfId="0" applyNumberFormat="1" applyFont="1" applyFill="1" applyBorder="1" applyAlignment="1">
      <alignment horizontal="right"/>
    </xf>
    <xf numFmtId="164" fontId="5" fillId="0" borderId="45" xfId="1" applyNumberFormat="1" applyFont="1" applyFill="1" applyBorder="1" applyAlignment="1">
      <alignment horizontal="right"/>
    </xf>
    <xf numFmtId="164" fontId="5" fillId="0" borderId="44" xfId="1" applyNumberFormat="1" applyFont="1" applyFill="1" applyBorder="1" applyAlignment="1">
      <alignment horizontal="right"/>
    </xf>
    <xf numFmtId="164" fontId="5" fillId="0" borderId="42" xfId="1" applyNumberFormat="1" applyFont="1" applyFill="1" applyBorder="1" applyAlignment="1">
      <alignment horizontal="left" wrapText="1"/>
    </xf>
    <xf numFmtId="164" fontId="5" fillId="0" borderId="36" xfId="1" applyNumberFormat="1" applyFont="1" applyFill="1" applyBorder="1" applyAlignment="1">
      <alignment horizontal="right"/>
    </xf>
    <xf numFmtId="164" fontId="5" fillId="0" borderId="42" xfId="1" applyNumberFormat="1" applyFont="1" applyFill="1" applyBorder="1" applyAlignment="1">
      <alignment horizontal="right"/>
    </xf>
    <xf numFmtId="164" fontId="5" fillId="5" borderId="43" xfId="1" applyNumberFormat="1" applyFont="1" applyFill="1" applyBorder="1" applyAlignment="1">
      <alignment horizontal="right"/>
    </xf>
    <xf numFmtId="0" fontId="4" fillId="0" borderId="46" xfId="0" applyFont="1" applyBorder="1" applyAlignment="1">
      <alignment horizontal="left" wrapText="1"/>
    </xf>
    <xf numFmtId="0" fontId="4" fillId="0" borderId="0" xfId="0" applyFont="1" applyBorder="1" applyAlignment="1">
      <alignment horizontal="left" wrapText="1"/>
    </xf>
    <xf numFmtId="0" fontId="4" fillId="0" borderId="17" xfId="0" applyFont="1" applyBorder="1" applyAlignment="1">
      <alignment horizontal="left" wrapText="1"/>
    </xf>
    <xf numFmtId="164" fontId="5" fillId="0" borderId="38" xfId="0" applyNumberFormat="1" applyFont="1" applyFill="1" applyBorder="1" applyAlignment="1">
      <alignment horizontal="right" vertical="center"/>
    </xf>
    <xf numFmtId="164" fontId="5" fillId="0" borderId="21" xfId="0" applyNumberFormat="1" applyFont="1" applyFill="1" applyBorder="1" applyAlignment="1">
      <alignment horizontal="right" vertical="center"/>
    </xf>
    <xf numFmtId="164" fontId="5" fillId="0" borderId="39" xfId="0" applyNumberFormat="1" applyFont="1" applyFill="1" applyBorder="1" applyAlignment="1">
      <alignment horizontal="right" vertical="center"/>
    </xf>
    <xf numFmtId="164" fontId="5" fillId="4" borderId="39" xfId="0" applyNumberFormat="1" applyFont="1" applyFill="1" applyBorder="1" applyAlignment="1">
      <alignment horizontal="right" vertical="center"/>
    </xf>
    <xf numFmtId="166" fontId="5" fillId="0" borderId="39" xfId="2" applyNumberFormat="1" applyFont="1" applyFill="1" applyBorder="1" applyAlignment="1">
      <alignment horizontal="right" vertical="center"/>
    </xf>
    <xf numFmtId="164" fontId="3" fillId="0" borderId="43" xfId="0" applyNumberFormat="1" applyFont="1" applyFill="1" applyBorder="1" applyAlignment="1">
      <alignment horizontal="right" vertical="center"/>
    </xf>
    <xf numFmtId="164" fontId="3" fillId="0" borderId="44" xfId="0" applyNumberFormat="1" applyFont="1" applyFill="1" applyBorder="1" applyAlignment="1">
      <alignment horizontal="right" vertical="center"/>
    </xf>
    <xf numFmtId="164" fontId="3" fillId="0" borderId="45" xfId="0" applyNumberFormat="1" applyFont="1" applyFill="1" applyBorder="1" applyAlignment="1">
      <alignment horizontal="right" vertical="center"/>
    </xf>
    <xf numFmtId="164" fontId="3" fillId="4" borderId="45" xfId="0" applyNumberFormat="1" applyFont="1" applyFill="1" applyBorder="1" applyAlignment="1">
      <alignment horizontal="right" vertical="center"/>
    </xf>
    <xf numFmtId="166" fontId="3" fillId="0" borderId="45" xfId="2" applyNumberFormat="1" applyFont="1" applyFill="1" applyBorder="1" applyAlignment="1">
      <alignment horizontal="right" vertical="center"/>
    </xf>
    <xf numFmtId="164" fontId="5" fillId="0" borderId="48" xfId="0" applyNumberFormat="1" applyFont="1" applyFill="1" applyBorder="1" applyAlignment="1">
      <alignment horizontal="right" vertical="center"/>
    </xf>
    <xf numFmtId="164" fontId="5" fillId="0" borderId="49" xfId="0" applyNumberFormat="1" applyFont="1" applyFill="1" applyBorder="1" applyAlignment="1">
      <alignment horizontal="right" vertical="center"/>
    </xf>
    <xf numFmtId="164" fontId="5" fillId="0" borderId="50" xfId="0" applyNumberFormat="1" applyFont="1" applyFill="1" applyBorder="1" applyAlignment="1">
      <alignment horizontal="right" vertical="center"/>
    </xf>
    <xf numFmtId="164" fontId="5" fillId="4" borderId="50" xfId="0" applyNumberFormat="1" applyFont="1" applyFill="1" applyBorder="1" applyAlignment="1">
      <alignment horizontal="right" vertical="center"/>
    </xf>
    <xf numFmtId="166" fontId="5" fillId="0" borderId="50" xfId="2" applyNumberFormat="1" applyFont="1" applyFill="1" applyBorder="1" applyAlignment="1">
      <alignment horizontal="right" vertical="center"/>
    </xf>
    <xf numFmtId="164" fontId="5" fillId="0" borderId="40" xfId="0" applyNumberFormat="1" applyFont="1" applyFill="1" applyBorder="1" applyAlignment="1">
      <alignment horizontal="right" vertical="center"/>
    </xf>
    <xf numFmtId="164" fontId="5" fillId="0" borderId="22" xfId="0" applyNumberFormat="1" applyFont="1" applyFill="1" applyBorder="1" applyAlignment="1">
      <alignment horizontal="right" vertical="center"/>
    </xf>
    <xf numFmtId="164" fontId="5" fillId="0" borderId="41" xfId="0" applyNumberFormat="1" applyFont="1" applyFill="1" applyBorder="1" applyAlignment="1">
      <alignment horizontal="right" vertical="center"/>
    </xf>
    <xf numFmtId="164" fontId="5" fillId="4" borderId="41" xfId="0" applyNumberFormat="1" applyFont="1" applyFill="1" applyBorder="1" applyAlignment="1">
      <alignment horizontal="right" vertical="center"/>
    </xf>
    <xf numFmtId="166" fontId="5" fillId="0" borderId="41" xfId="2" applyNumberFormat="1" applyFont="1" applyFill="1" applyBorder="1" applyAlignment="1">
      <alignment horizontal="right" vertical="center"/>
    </xf>
    <xf numFmtId="165" fontId="5" fillId="0" borderId="38" xfId="0" applyNumberFormat="1" applyFont="1" applyFill="1" applyBorder="1" applyAlignment="1">
      <alignment horizontal="right" vertical="center"/>
    </xf>
    <xf numFmtId="164" fontId="5" fillId="0" borderId="43" xfId="0" applyNumberFormat="1" applyFont="1" applyFill="1" applyBorder="1" applyAlignment="1">
      <alignment horizontal="right" vertical="center"/>
    </xf>
    <xf numFmtId="164" fontId="5" fillId="0" borderId="44" xfId="0" applyNumberFormat="1" applyFont="1" applyFill="1" applyBorder="1" applyAlignment="1">
      <alignment horizontal="right" vertical="center"/>
    </xf>
    <xf numFmtId="164" fontId="5" fillId="0" borderId="45" xfId="0" applyNumberFormat="1" applyFont="1" applyFill="1" applyBorder="1" applyAlignment="1">
      <alignment horizontal="right" vertical="center"/>
    </xf>
    <xf numFmtId="164" fontId="5" fillId="4" borderId="45" xfId="0" applyNumberFormat="1" applyFont="1" applyFill="1" applyBorder="1" applyAlignment="1">
      <alignment horizontal="right" vertical="center"/>
    </xf>
    <xf numFmtId="166" fontId="5" fillId="0" borderId="45" xfId="2" applyNumberFormat="1" applyFont="1" applyFill="1" applyBorder="1" applyAlignment="1">
      <alignment horizontal="right" vertical="center"/>
    </xf>
    <xf numFmtId="164" fontId="5" fillId="5" borderId="50" xfId="0" applyNumberFormat="1" applyFont="1" applyFill="1" applyBorder="1" applyAlignment="1">
      <alignment horizontal="right" vertical="center"/>
    </xf>
    <xf numFmtId="164" fontId="5" fillId="0" borderId="40" xfId="0" applyNumberFormat="1" applyFont="1" applyBorder="1" applyAlignment="1">
      <alignment horizontal="right" vertical="center"/>
    </xf>
    <xf numFmtId="164" fontId="5" fillId="0" borderId="22" xfId="0" applyNumberFormat="1" applyFont="1" applyBorder="1" applyAlignment="1">
      <alignment horizontal="right" vertical="center"/>
    </xf>
    <xf numFmtId="164" fontId="5" fillId="0" borderId="41" xfId="0" applyNumberFormat="1" applyFont="1" applyBorder="1" applyAlignment="1">
      <alignment horizontal="right" vertical="center"/>
    </xf>
    <xf numFmtId="166" fontId="5" fillId="0" borderId="41" xfId="2" applyNumberFormat="1" applyFont="1" applyBorder="1" applyAlignment="1">
      <alignment horizontal="right" vertical="center"/>
    </xf>
    <xf numFmtId="164" fontId="5" fillId="0" borderId="38" xfId="0" applyNumberFormat="1" applyFont="1" applyBorder="1" applyAlignment="1">
      <alignment horizontal="right" vertical="center"/>
    </xf>
    <xf numFmtId="164" fontId="5" fillId="0" borderId="21" xfId="0" applyNumberFormat="1" applyFont="1" applyBorder="1" applyAlignment="1">
      <alignment horizontal="right" vertical="center"/>
    </xf>
    <xf numFmtId="166" fontId="5" fillId="0" borderId="39" xfId="2" applyNumberFormat="1" applyFont="1" applyBorder="1" applyAlignment="1">
      <alignment horizontal="right" vertical="center"/>
    </xf>
    <xf numFmtId="164" fontId="3" fillId="0" borderId="43" xfId="0" applyNumberFormat="1" applyFont="1" applyBorder="1" applyAlignment="1">
      <alignment horizontal="right" vertical="center"/>
    </xf>
    <xf numFmtId="164" fontId="5" fillId="0" borderId="44" xfId="0" applyNumberFormat="1" applyFont="1" applyBorder="1" applyAlignment="1">
      <alignment horizontal="right" vertical="center"/>
    </xf>
    <xf numFmtId="166" fontId="5" fillId="0" borderId="45" xfId="2" applyNumberFormat="1" applyFont="1" applyBorder="1" applyAlignment="1">
      <alignment horizontal="right" vertical="center"/>
    </xf>
    <xf numFmtId="164" fontId="5" fillId="0" borderId="48" xfId="0" applyNumberFormat="1" applyFont="1" applyBorder="1" applyAlignment="1">
      <alignment horizontal="right" vertical="center"/>
    </xf>
    <xf numFmtId="164" fontId="5" fillId="0" borderId="49" xfId="0" applyNumberFormat="1" applyFont="1" applyBorder="1" applyAlignment="1">
      <alignment horizontal="right" vertical="center"/>
    </xf>
    <xf numFmtId="166" fontId="5" fillId="0" borderId="50" xfId="2" applyNumberFormat="1" applyFont="1" applyBorder="1" applyAlignment="1">
      <alignment horizontal="right" vertical="center"/>
    </xf>
    <xf numFmtId="0" fontId="4" fillId="0" borderId="0" xfId="0" applyFont="1" applyBorder="1"/>
    <xf numFmtId="0" fontId="4" fillId="0" borderId="0" xfId="0" applyFont="1" applyBorder="1" applyAlignment="1">
      <alignment horizontal="right" wrapText="1"/>
    </xf>
    <xf numFmtId="164" fontId="3" fillId="0" borderId="0" xfId="0" applyNumberFormat="1" applyFont="1" applyFill="1" applyBorder="1" applyAlignment="1">
      <alignment horizontal="right" vertical="center"/>
    </xf>
    <xf numFmtId="0" fontId="3" fillId="0" borderId="0" xfId="0" applyFont="1" applyFill="1" applyBorder="1" applyAlignment="1">
      <alignment horizontal="right" vertical="center"/>
    </xf>
    <xf numFmtId="164" fontId="3" fillId="0" borderId="0" xfId="0" applyNumberFormat="1" applyFont="1" applyBorder="1" applyAlignment="1">
      <alignment horizontal="right" vertical="center"/>
    </xf>
    <xf numFmtId="0" fontId="3" fillId="0" borderId="0" xfId="0" applyFont="1" applyBorder="1" applyAlignment="1">
      <alignment horizontal="right" vertical="center"/>
    </xf>
    <xf numFmtId="164"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xf>
    <xf numFmtId="164" fontId="5" fillId="0" borderId="0" xfId="0" applyNumberFormat="1" applyFont="1" applyBorder="1" applyAlignment="1">
      <alignment horizontal="right" vertical="center"/>
    </xf>
    <xf numFmtId="0" fontId="5" fillId="0" borderId="0" xfId="0" applyFont="1" applyBorder="1" applyAlignment="1">
      <alignment horizontal="right" vertical="center"/>
    </xf>
    <xf numFmtId="0" fontId="4" fillId="0" borderId="46" xfId="0" applyFont="1" applyBorder="1" applyAlignment="1">
      <alignment horizontal="right" wrapText="1"/>
    </xf>
    <xf numFmtId="0" fontId="4" fillId="0" borderId="17" xfId="0" applyFont="1" applyBorder="1" applyAlignment="1">
      <alignment horizontal="right"/>
    </xf>
    <xf numFmtId="0" fontId="4" fillId="0" borderId="36" xfId="0" applyFont="1" applyBorder="1" applyAlignment="1">
      <alignment horizontal="right"/>
    </xf>
    <xf numFmtId="0" fontId="4" fillId="0" borderId="17" xfId="0" applyFont="1" applyBorder="1" applyAlignment="1">
      <alignment horizontal="right" wrapText="1"/>
    </xf>
    <xf numFmtId="164" fontId="3" fillId="0" borderId="38" xfId="0" applyNumberFormat="1" applyFont="1" applyFill="1" applyBorder="1" applyAlignment="1">
      <alignment horizontal="right" vertical="center"/>
    </xf>
    <xf numFmtId="164" fontId="3" fillId="0" borderId="21" xfId="0" applyNumberFormat="1" applyFont="1" applyFill="1" applyBorder="1" applyAlignment="1">
      <alignment horizontal="right" vertical="center"/>
    </xf>
    <xf numFmtId="164" fontId="3" fillId="0" borderId="39" xfId="0" applyNumberFormat="1" applyFont="1" applyFill="1" applyBorder="1" applyAlignment="1">
      <alignment horizontal="right" vertical="center"/>
    </xf>
    <xf numFmtId="166" fontId="3" fillId="0" borderId="39" xfId="2" applyNumberFormat="1" applyFont="1" applyFill="1" applyBorder="1" applyAlignment="1">
      <alignment horizontal="right" vertical="center"/>
    </xf>
    <xf numFmtId="164" fontId="3" fillId="0" borderId="38" xfId="0" applyNumberFormat="1" applyFont="1" applyBorder="1" applyAlignment="1">
      <alignment horizontal="right" vertical="center"/>
    </xf>
    <xf numFmtId="164" fontId="3" fillId="0" borderId="21" xfId="0" applyNumberFormat="1" applyFont="1" applyBorder="1" applyAlignment="1">
      <alignment horizontal="right" vertical="center"/>
    </xf>
    <xf numFmtId="164" fontId="3" fillId="0" borderId="39" xfId="0" applyNumberFormat="1" applyFont="1" applyBorder="1" applyAlignment="1">
      <alignment horizontal="right" vertical="center"/>
    </xf>
    <xf numFmtId="164" fontId="3" fillId="0" borderId="44" xfId="0" applyNumberFormat="1" applyFont="1" applyBorder="1" applyAlignment="1">
      <alignment horizontal="right" vertical="center"/>
    </xf>
    <xf numFmtId="164" fontId="3" fillId="0" borderId="45" xfId="0" applyNumberFormat="1" applyFont="1" applyBorder="1" applyAlignment="1">
      <alignment horizontal="right" vertical="center"/>
    </xf>
    <xf numFmtId="166" fontId="3" fillId="0" borderId="45" xfId="2" applyNumberFormat="1" applyFont="1" applyBorder="1" applyAlignment="1">
      <alignment horizontal="right" vertical="center"/>
    </xf>
    <xf numFmtId="164" fontId="3" fillId="0" borderId="48" xfId="0" applyNumberFormat="1" applyFont="1" applyBorder="1" applyAlignment="1">
      <alignment horizontal="right" vertical="center"/>
    </xf>
    <xf numFmtId="164" fontId="3" fillId="0" borderId="49" xfId="0" applyNumberFormat="1" applyFont="1" applyBorder="1" applyAlignment="1">
      <alignment horizontal="right" vertical="center"/>
    </xf>
    <xf numFmtId="164" fontId="3" fillId="0" borderId="50" xfId="0" applyNumberFormat="1" applyFont="1" applyBorder="1" applyAlignment="1">
      <alignment horizontal="right" vertical="center"/>
    </xf>
    <xf numFmtId="166" fontId="3" fillId="0" borderId="50" xfId="2" applyNumberFormat="1" applyFont="1" applyBorder="1" applyAlignment="1">
      <alignment horizontal="right" vertical="center"/>
    </xf>
    <xf numFmtId="166" fontId="3" fillId="2" borderId="39" xfId="0" applyNumberFormat="1" applyFont="1" applyFill="1" applyBorder="1" applyAlignment="1">
      <alignment horizontal="right" vertical="center"/>
    </xf>
    <xf numFmtId="166" fontId="3" fillId="0" borderId="45" xfId="0" applyNumberFormat="1" applyFont="1" applyBorder="1" applyAlignment="1">
      <alignment horizontal="right" vertical="center"/>
    </xf>
    <xf numFmtId="164" fontId="3" fillId="0" borderId="49" xfId="0" applyNumberFormat="1" applyFont="1" applyFill="1" applyBorder="1" applyAlignment="1">
      <alignment horizontal="right" vertical="center"/>
    </xf>
    <xf numFmtId="166" fontId="3" fillId="0" borderId="50" xfId="0" applyNumberFormat="1" applyFont="1" applyBorder="1" applyAlignment="1">
      <alignment horizontal="right" vertical="center"/>
    </xf>
    <xf numFmtId="166" fontId="3" fillId="2" borderId="50" xfId="0" applyNumberFormat="1" applyFont="1" applyFill="1" applyBorder="1" applyAlignment="1">
      <alignment horizontal="right" vertical="center"/>
    </xf>
    <xf numFmtId="164" fontId="3" fillId="2" borderId="45" xfId="0" applyNumberFormat="1" applyFont="1" applyFill="1" applyBorder="1" applyAlignment="1">
      <alignment horizontal="right" vertical="center"/>
    </xf>
    <xf numFmtId="166" fontId="3" fillId="2" borderId="45" xfId="0" applyNumberFormat="1" applyFont="1" applyFill="1" applyBorder="1" applyAlignment="1">
      <alignment horizontal="right" vertical="center"/>
    </xf>
    <xf numFmtId="0" fontId="4" fillId="0" borderId="28" xfId="0" applyFont="1" applyBorder="1" applyAlignment="1">
      <alignment horizontal="right" wrapText="1"/>
    </xf>
    <xf numFmtId="0" fontId="4" fillId="0" borderId="53" xfId="0" applyFont="1" applyBorder="1" applyAlignment="1">
      <alignment horizontal="right" wrapText="1"/>
    </xf>
    <xf numFmtId="0" fontId="4" fillId="0" borderId="20" xfId="0" applyFont="1" applyBorder="1" applyAlignment="1">
      <alignment horizontal="right" wrapText="1"/>
    </xf>
    <xf numFmtId="0" fontId="4" fillId="0" borderId="54" xfId="0" applyFont="1" applyBorder="1" applyAlignment="1">
      <alignment horizontal="right" wrapText="1"/>
    </xf>
    <xf numFmtId="0" fontId="4" fillId="0" borderId="55" xfId="0" applyFont="1" applyBorder="1" applyAlignment="1">
      <alignment horizontal="right" vertical="center"/>
    </xf>
    <xf numFmtId="164" fontId="3" fillId="0" borderId="56" xfId="0" applyNumberFormat="1" applyFont="1" applyBorder="1" applyAlignment="1">
      <alignment horizontal="right" vertical="center"/>
    </xf>
    <xf numFmtId="0" fontId="4" fillId="0" borderId="57" xfId="0" applyFont="1" applyBorder="1" applyAlignment="1">
      <alignment horizontal="right" vertical="center"/>
    </xf>
    <xf numFmtId="164" fontId="3" fillId="0" borderId="58" xfId="0" applyNumberFormat="1" applyFont="1" applyBorder="1" applyAlignment="1">
      <alignment horizontal="right" vertical="center"/>
    </xf>
    <xf numFmtId="0" fontId="4" fillId="0" borderId="59" xfId="0" applyFont="1" applyBorder="1" applyAlignment="1">
      <alignment horizontal="right" vertical="center"/>
    </xf>
    <xf numFmtId="164" fontId="3" fillId="0" borderId="60" xfId="0" applyNumberFormat="1" applyFont="1" applyBorder="1" applyAlignment="1">
      <alignment horizontal="right" vertical="center"/>
    </xf>
    <xf numFmtId="0" fontId="4" fillId="0" borderId="51" xfId="0" applyFont="1" applyBorder="1" applyAlignment="1">
      <alignment horizontal="right" vertical="center"/>
    </xf>
    <xf numFmtId="0" fontId="4" fillId="3" borderId="59" xfId="0" applyFont="1" applyFill="1" applyBorder="1" applyAlignment="1">
      <alignment horizontal="right" vertical="center"/>
    </xf>
    <xf numFmtId="164" fontId="3" fillId="3" borderId="48" xfId="0" applyNumberFormat="1" applyFont="1" applyFill="1" applyBorder="1" applyAlignment="1">
      <alignment horizontal="right" vertical="center"/>
    </xf>
    <xf numFmtId="164" fontId="3" fillId="3" borderId="49" xfId="0" applyNumberFormat="1" applyFont="1" applyFill="1" applyBorder="1" applyAlignment="1">
      <alignment horizontal="right" vertical="center"/>
    </xf>
    <xf numFmtId="164" fontId="3" fillId="3" borderId="50" xfId="0" applyNumberFormat="1" applyFont="1" applyFill="1" applyBorder="1" applyAlignment="1">
      <alignment horizontal="right" vertical="center"/>
    </xf>
    <xf numFmtId="0" fontId="4" fillId="0" borderId="63" xfId="0" applyFont="1" applyBorder="1" applyAlignment="1">
      <alignment horizontal="right" vertical="center"/>
    </xf>
    <xf numFmtId="164" fontId="3" fillId="0" borderId="64" xfId="0" applyNumberFormat="1" applyFont="1" applyBorder="1" applyAlignment="1">
      <alignment horizontal="right" vertical="center"/>
    </xf>
    <xf numFmtId="0" fontId="4" fillId="0" borderId="63" xfId="0" applyFont="1" applyFill="1" applyBorder="1" applyAlignment="1">
      <alignment horizontal="right" vertical="center"/>
    </xf>
    <xf numFmtId="164" fontId="3" fillId="0" borderId="64" xfId="0" applyNumberFormat="1" applyFont="1" applyFill="1" applyBorder="1" applyAlignment="1">
      <alignment horizontal="right" vertical="center"/>
    </xf>
    <xf numFmtId="0" fontId="4" fillId="3" borderId="65" xfId="0" applyFont="1" applyFill="1" applyBorder="1" applyAlignment="1">
      <alignment horizontal="right" vertical="center"/>
    </xf>
    <xf numFmtId="164" fontId="3" fillId="3" borderId="66" xfId="0" applyNumberFormat="1" applyFont="1" applyFill="1" applyBorder="1" applyAlignment="1">
      <alignment horizontal="right" vertical="center"/>
    </xf>
    <xf numFmtId="0" fontId="4" fillId="0" borderId="26" xfId="0" applyFont="1" applyBorder="1" applyAlignment="1">
      <alignment horizontal="right" wrapText="1"/>
    </xf>
    <xf numFmtId="0" fontId="4" fillId="0" borderId="68" xfId="0" applyFont="1" applyBorder="1" applyAlignment="1">
      <alignment horizontal="right" vertical="center"/>
    </xf>
    <xf numFmtId="164" fontId="3" fillId="0" borderId="69" xfId="0" applyNumberFormat="1" applyFont="1" applyBorder="1" applyAlignment="1">
      <alignment horizontal="right" vertical="center"/>
    </xf>
    <xf numFmtId="0" fontId="4" fillId="0" borderId="61" xfId="0" applyFont="1" applyBorder="1" applyAlignment="1">
      <alignment horizontal="right" vertical="center"/>
    </xf>
    <xf numFmtId="164" fontId="3" fillId="0" borderId="62" xfId="0" applyNumberFormat="1" applyFont="1" applyBorder="1" applyAlignment="1">
      <alignment horizontal="right" vertical="center"/>
    </xf>
    <xf numFmtId="0" fontId="4" fillId="0" borderId="65" xfId="0" applyFont="1" applyBorder="1" applyAlignment="1">
      <alignment horizontal="right" vertical="center"/>
    </xf>
    <xf numFmtId="164" fontId="3" fillId="0" borderId="66" xfId="0" applyNumberFormat="1" applyFont="1" applyBorder="1" applyAlignment="1">
      <alignment horizontal="right" vertical="center"/>
    </xf>
    <xf numFmtId="0" fontId="3" fillId="0" borderId="44" xfId="0" applyFont="1" applyBorder="1" applyAlignment="1">
      <alignment horizontal="right" vertical="center"/>
    </xf>
    <xf numFmtId="0" fontId="3" fillId="0" borderId="62" xfId="0" applyFont="1" applyBorder="1" applyAlignment="1">
      <alignment horizontal="right" vertical="center"/>
    </xf>
    <xf numFmtId="0" fontId="3" fillId="0" borderId="49" xfId="0" applyFont="1" applyBorder="1" applyAlignment="1">
      <alignment horizontal="right" vertical="center"/>
    </xf>
    <xf numFmtId="0" fontId="3" fillId="0" borderId="28" xfId="0" applyFont="1" applyBorder="1"/>
    <xf numFmtId="0" fontId="4" fillId="0" borderId="7" xfId="0" applyFont="1" applyBorder="1" applyAlignment="1">
      <alignment horizontal="left" indent="1"/>
    </xf>
    <xf numFmtId="0" fontId="4" fillId="0" borderId="55" xfId="0" applyFont="1" applyBorder="1" applyAlignment="1">
      <alignment horizontal="left" vertical="center" indent="1"/>
    </xf>
    <xf numFmtId="0" fontId="4" fillId="0" borderId="57" xfId="0" applyFont="1" applyBorder="1" applyAlignment="1">
      <alignment horizontal="left" vertical="center" indent="1"/>
    </xf>
    <xf numFmtId="0" fontId="4" fillId="0" borderId="59" xfId="0" applyFont="1" applyBorder="1" applyAlignment="1">
      <alignment horizontal="left" vertical="center" indent="1"/>
    </xf>
    <xf numFmtId="0" fontId="4" fillId="0" borderId="51" xfId="0" applyFont="1" applyFill="1" applyBorder="1" applyAlignment="1">
      <alignment horizontal="left" vertical="center" indent="1"/>
    </xf>
    <xf numFmtId="164" fontId="3" fillId="0" borderId="52" xfId="0" applyNumberFormat="1" applyFont="1" applyFill="1" applyBorder="1" applyAlignment="1">
      <alignment horizontal="right" vertical="center"/>
    </xf>
    <xf numFmtId="0" fontId="4" fillId="0" borderId="57" xfId="0" applyFont="1" applyFill="1" applyBorder="1" applyAlignment="1">
      <alignment horizontal="left" vertical="center" indent="1"/>
    </xf>
    <xf numFmtId="164" fontId="3" fillId="0" borderId="58" xfId="0" applyNumberFormat="1" applyFont="1" applyFill="1" applyBorder="1" applyAlignment="1">
      <alignment horizontal="right" vertical="center"/>
    </xf>
    <xf numFmtId="0" fontId="4" fillId="3" borderId="59" xfId="0" applyFont="1" applyFill="1" applyBorder="1" applyAlignment="1">
      <alignment horizontal="left" vertical="center" indent="1"/>
    </xf>
    <xf numFmtId="166" fontId="3" fillId="3" borderId="50" xfId="2" applyNumberFormat="1" applyFont="1" applyFill="1" applyBorder="1" applyAlignment="1">
      <alignment horizontal="right" vertical="center"/>
    </xf>
    <xf numFmtId="0" fontId="6" fillId="0" borderId="26" xfId="1" applyFont="1" applyBorder="1" applyAlignment="1">
      <alignment horizontal="right"/>
    </xf>
    <xf numFmtId="164" fontId="4" fillId="0" borderId="29" xfId="0" applyNumberFormat="1" applyFont="1" applyBorder="1" applyAlignment="1">
      <alignment horizontal="left" wrapText="1"/>
    </xf>
    <xf numFmtId="164" fontId="4" fillId="0" borderId="30" xfId="0" applyNumberFormat="1" applyFont="1" applyBorder="1" applyAlignment="1">
      <alignment horizontal="left" wrapText="1"/>
    </xf>
    <xf numFmtId="0" fontId="6" fillId="0" borderId="68" xfId="1" applyFont="1" applyBorder="1" applyAlignment="1">
      <alignment horizontal="right"/>
    </xf>
    <xf numFmtId="164" fontId="4" fillId="0" borderId="52" xfId="0" applyNumberFormat="1" applyFont="1" applyBorder="1" applyAlignment="1">
      <alignment horizontal="left" wrapText="1"/>
    </xf>
    <xf numFmtId="0" fontId="6" fillId="0" borderId="63" xfId="1" applyFont="1" applyBorder="1" applyAlignment="1">
      <alignment horizontal="right"/>
    </xf>
    <xf numFmtId="164" fontId="5" fillId="0" borderId="58" xfId="1" applyNumberFormat="1" applyFont="1" applyBorder="1" applyAlignment="1">
      <alignment horizontal="left" wrapText="1"/>
    </xf>
    <xf numFmtId="0" fontId="6" fillId="0" borderId="67" xfId="1" applyFont="1" applyBorder="1" applyAlignment="1">
      <alignment horizontal="right"/>
    </xf>
    <xf numFmtId="164" fontId="5" fillId="0" borderId="70" xfId="1" applyNumberFormat="1" applyFont="1" applyBorder="1" applyAlignment="1">
      <alignment horizontal="left" wrapText="1"/>
    </xf>
    <xf numFmtId="0" fontId="6" fillId="0" borderId="61" xfId="1" applyFont="1" applyBorder="1" applyAlignment="1">
      <alignment horizontal="right"/>
    </xf>
    <xf numFmtId="164" fontId="5" fillId="0" borderId="56" xfId="1" applyNumberFormat="1" applyFont="1" applyBorder="1" applyAlignment="1">
      <alignment horizontal="left" wrapText="1"/>
    </xf>
    <xf numFmtId="0" fontId="6" fillId="0" borderId="63" xfId="1" applyFont="1" applyFill="1" applyBorder="1" applyAlignment="1">
      <alignment horizontal="right"/>
    </xf>
    <xf numFmtId="0" fontId="6" fillId="0" borderId="67" xfId="1" applyFont="1" applyFill="1" applyBorder="1" applyAlignment="1">
      <alignment horizontal="right"/>
    </xf>
    <xf numFmtId="0" fontId="6" fillId="0" borderId="61" xfId="1" applyFont="1" applyFill="1" applyBorder="1" applyAlignment="1">
      <alignment horizontal="right"/>
    </xf>
    <xf numFmtId="164" fontId="5" fillId="0" borderId="70" xfId="1" applyNumberFormat="1" applyFont="1" applyFill="1" applyBorder="1" applyAlignment="1">
      <alignment horizontal="left" wrapText="1"/>
    </xf>
    <xf numFmtId="164" fontId="5" fillId="0" borderId="56" xfId="1" applyNumberFormat="1" applyFont="1" applyFill="1" applyBorder="1" applyAlignment="1">
      <alignment horizontal="left" wrapText="1"/>
    </xf>
    <xf numFmtId="164" fontId="5" fillId="0" borderId="58" xfId="1" applyNumberFormat="1" applyFont="1" applyFill="1" applyBorder="1" applyAlignment="1">
      <alignment horizontal="left" wrapText="1"/>
    </xf>
    <xf numFmtId="0" fontId="6" fillId="3" borderId="65" xfId="1" applyFont="1" applyFill="1" applyBorder="1" applyAlignment="1">
      <alignment horizontal="right"/>
    </xf>
    <xf numFmtId="164" fontId="3" fillId="3" borderId="48" xfId="0" applyNumberFormat="1" applyFont="1" applyFill="1" applyBorder="1" applyAlignment="1">
      <alignment horizontal="right"/>
    </xf>
    <xf numFmtId="164" fontId="5" fillId="3" borderId="49" xfId="0" applyNumberFormat="1" applyFont="1" applyFill="1" applyBorder="1" applyAlignment="1">
      <alignment horizontal="right"/>
    </xf>
    <xf numFmtId="164" fontId="5" fillId="3" borderId="50" xfId="1" applyNumberFormat="1" applyFont="1" applyFill="1" applyBorder="1" applyAlignment="1">
      <alignment horizontal="right"/>
    </xf>
    <xf numFmtId="164" fontId="5" fillId="4" borderId="48" xfId="1" applyNumberFormat="1" applyFont="1" applyFill="1" applyBorder="1" applyAlignment="1">
      <alignment horizontal="right"/>
    </xf>
    <xf numFmtId="164" fontId="5" fillId="3" borderId="48" xfId="1" applyNumberFormat="1" applyFont="1" applyFill="1" applyBorder="1" applyAlignment="1">
      <alignment horizontal="right"/>
    </xf>
    <xf numFmtId="166" fontId="5" fillId="3" borderId="50" xfId="2" applyNumberFormat="1" applyFont="1" applyFill="1" applyBorder="1" applyAlignment="1">
      <alignment horizontal="right"/>
    </xf>
    <xf numFmtId="164" fontId="5" fillId="3" borderId="47" xfId="1" applyNumberFormat="1" applyFont="1" applyFill="1" applyBorder="1" applyAlignment="1">
      <alignment horizontal="right"/>
    </xf>
    <xf numFmtId="164" fontId="3" fillId="0" borderId="0" xfId="0" applyNumberFormat="1" applyFont="1" applyBorder="1" applyAlignment="1">
      <alignment horizontal="right"/>
    </xf>
    <xf numFmtId="164" fontId="3" fillId="0" borderId="42" xfId="0" applyNumberFormat="1" applyFont="1" applyBorder="1" applyAlignment="1">
      <alignment horizontal="right"/>
    </xf>
    <xf numFmtId="164" fontId="5" fillId="0" borderId="62" xfId="1" applyNumberFormat="1" applyFont="1" applyBorder="1" applyAlignment="1">
      <alignment horizontal="left" wrapText="1"/>
    </xf>
    <xf numFmtId="164" fontId="5" fillId="0" borderId="64" xfId="1" applyNumberFormat="1" applyFont="1" applyBorder="1" applyAlignment="1">
      <alignment horizontal="left" wrapText="1"/>
    </xf>
    <xf numFmtId="164" fontId="5" fillId="0" borderId="47" xfId="0" applyNumberFormat="1" applyFont="1" applyBorder="1" applyAlignment="1">
      <alignment horizontal="right"/>
    </xf>
    <xf numFmtId="164" fontId="5" fillId="0" borderId="66" xfId="1" applyNumberFormat="1" applyFont="1" applyBorder="1" applyAlignment="1">
      <alignment horizontal="left" wrapText="1"/>
    </xf>
    <xf numFmtId="164" fontId="3" fillId="0" borderId="47" xfId="0" applyNumberFormat="1" applyFont="1" applyBorder="1" applyAlignment="1">
      <alignment horizontal="right"/>
    </xf>
    <xf numFmtId="0" fontId="4" fillId="0" borderId="28" xfId="0" applyFont="1" applyBorder="1"/>
    <xf numFmtId="0" fontId="4" fillId="0" borderId="30" xfId="0" applyFont="1" applyBorder="1" applyAlignment="1">
      <alignment horizontal="left" wrapText="1"/>
    </xf>
    <xf numFmtId="0" fontId="4" fillId="0" borderId="7" xfId="0" applyFont="1" applyBorder="1" applyAlignment="1">
      <alignment horizontal="right" wrapText="1"/>
    </xf>
    <xf numFmtId="0" fontId="4" fillId="0" borderId="9" xfId="0" applyFont="1" applyBorder="1" applyAlignment="1">
      <alignment horizontal="left" wrapText="1"/>
    </xf>
    <xf numFmtId="0" fontId="4" fillId="0" borderId="55" xfId="0" applyFont="1" applyFill="1" applyBorder="1" applyAlignment="1">
      <alignment horizontal="right" vertical="center"/>
    </xf>
    <xf numFmtId="164" fontId="3" fillId="0" borderId="56" xfId="0" applyNumberFormat="1" applyFont="1" applyFill="1" applyBorder="1" applyAlignment="1">
      <alignment horizontal="left" vertical="center" wrapText="1"/>
    </xf>
    <xf numFmtId="0" fontId="4" fillId="0" borderId="57" xfId="0" applyFont="1" applyFill="1" applyBorder="1" applyAlignment="1">
      <alignment horizontal="right" vertical="center"/>
    </xf>
    <xf numFmtId="164" fontId="3" fillId="0" borderId="58" xfId="0" applyNumberFormat="1" applyFont="1" applyFill="1" applyBorder="1" applyAlignment="1">
      <alignment horizontal="left" vertical="center" wrapText="1"/>
    </xf>
    <xf numFmtId="0" fontId="6" fillId="0" borderId="59" xfId="0" applyFont="1" applyFill="1" applyBorder="1" applyAlignment="1">
      <alignment horizontal="right" vertical="center"/>
    </xf>
    <xf numFmtId="164" fontId="5" fillId="0" borderId="60" xfId="0" applyNumberFormat="1" applyFont="1" applyFill="1" applyBorder="1" applyAlignment="1">
      <alignment horizontal="left" vertical="center" wrapText="1"/>
    </xf>
    <xf numFmtId="0" fontId="6" fillId="0" borderId="51" xfId="0" applyFont="1" applyFill="1" applyBorder="1" applyAlignment="1">
      <alignment horizontal="right" vertical="center"/>
    </xf>
    <xf numFmtId="164" fontId="5" fillId="0" borderId="52" xfId="0" applyNumberFormat="1" applyFont="1" applyFill="1" applyBorder="1" applyAlignment="1">
      <alignment horizontal="left" vertical="center" wrapText="1"/>
    </xf>
    <xf numFmtId="0" fontId="6" fillId="0" borderId="57" xfId="0" applyFont="1" applyFill="1" applyBorder="1" applyAlignment="1">
      <alignment horizontal="right" vertical="center"/>
    </xf>
    <xf numFmtId="164" fontId="5" fillId="0" borderId="58" xfId="0" applyNumberFormat="1" applyFont="1" applyFill="1" applyBorder="1" applyAlignment="1">
      <alignment horizontal="left" vertical="center" wrapText="1"/>
    </xf>
    <xf numFmtId="0" fontId="6" fillId="0" borderId="71" xfId="0" applyFont="1" applyFill="1" applyBorder="1" applyAlignment="1">
      <alignment horizontal="right" vertical="center"/>
    </xf>
    <xf numFmtId="164" fontId="5" fillId="0" borderId="70" xfId="0" applyNumberFormat="1" applyFont="1" applyFill="1" applyBorder="1" applyAlignment="1">
      <alignment horizontal="left" vertical="center" wrapText="1"/>
    </xf>
    <xf numFmtId="0" fontId="6" fillId="0" borderId="55" xfId="0" applyFont="1" applyFill="1" applyBorder="1" applyAlignment="1">
      <alignment horizontal="right" vertical="center"/>
    </xf>
    <xf numFmtId="164" fontId="5" fillId="0" borderId="56" xfId="0" applyNumberFormat="1" applyFont="1" applyFill="1" applyBorder="1" applyAlignment="1">
      <alignment horizontal="left" vertical="center" wrapText="1"/>
    </xf>
    <xf numFmtId="0" fontId="6" fillId="0" borderId="57" xfId="0" applyFont="1" applyBorder="1" applyAlignment="1">
      <alignment horizontal="right" vertical="center"/>
    </xf>
    <xf numFmtId="164" fontId="5" fillId="0" borderId="58" xfId="0" applyNumberFormat="1" applyFont="1" applyBorder="1" applyAlignment="1">
      <alignment horizontal="left" vertical="center" wrapText="1"/>
    </xf>
    <xf numFmtId="0" fontId="6" fillId="0" borderId="71" xfId="0" applyFont="1" applyBorder="1" applyAlignment="1">
      <alignment horizontal="right" vertical="center"/>
    </xf>
    <xf numFmtId="164" fontId="5" fillId="0" borderId="70" xfId="0" applyNumberFormat="1" applyFont="1" applyBorder="1" applyAlignment="1">
      <alignment horizontal="left" vertical="center" wrapText="1"/>
    </xf>
    <xf numFmtId="164" fontId="5" fillId="0" borderId="56" xfId="0" applyNumberFormat="1" applyFont="1" applyBorder="1" applyAlignment="1">
      <alignment horizontal="left" vertical="center" wrapText="1"/>
    </xf>
    <xf numFmtId="0" fontId="6" fillId="0" borderId="59" xfId="0" applyFont="1" applyBorder="1" applyAlignment="1">
      <alignment horizontal="right" vertical="center"/>
    </xf>
    <xf numFmtId="164" fontId="5" fillId="0" borderId="60" xfId="0" applyNumberFormat="1" applyFont="1" applyBorder="1" applyAlignment="1">
      <alignment horizontal="left" vertical="center" wrapText="1"/>
    </xf>
    <xf numFmtId="0" fontId="6" fillId="0" borderId="51" xfId="0" applyFont="1" applyBorder="1" applyAlignment="1">
      <alignment horizontal="right" vertical="center"/>
    </xf>
    <xf numFmtId="164" fontId="5" fillId="0" borderId="52" xfId="0" applyNumberFormat="1" applyFont="1" applyBorder="1" applyAlignment="1">
      <alignment horizontal="left" vertical="center" wrapText="1"/>
    </xf>
    <xf numFmtId="164" fontId="5" fillId="3" borderId="48" xfId="0" applyNumberFormat="1" applyFont="1" applyFill="1" applyBorder="1" applyAlignment="1">
      <alignment horizontal="right" vertical="center"/>
    </xf>
    <xf numFmtId="164" fontId="5" fillId="3" borderId="49" xfId="0" applyNumberFormat="1" applyFont="1" applyFill="1" applyBorder="1" applyAlignment="1">
      <alignment horizontal="right" vertical="center"/>
    </xf>
    <xf numFmtId="164" fontId="5" fillId="3" borderId="50" xfId="0" applyNumberFormat="1" applyFont="1" applyFill="1" applyBorder="1" applyAlignment="1">
      <alignment horizontal="right" vertical="center"/>
    </xf>
    <xf numFmtId="0" fontId="4" fillId="0" borderId="72" xfId="0" applyFont="1" applyBorder="1" applyAlignment="1">
      <alignment horizontal="right"/>
    </xf>
    <xf numFmtId="164" fontId="3" fillId="0" borderId="57" xfId="0" applyNumberFormat="1" applyFont="1" applyBorder="1" applyAlignment="1">
      <alignment horizontal="right"/>
    </xf>
    <xf numFmtId="166" fontId="3" fillId="3" borderId="58" xfId="0" applyNumberFormat="1" applyFont="1" applyFill="1" applyBorder="1" applyAlignment="1">
      <alignment horizontal="right"/>
    </xf>
    <xf numFmtId="165" fontId="3" fillId="0" borderId="57" xfId="0" applyNumberFormat="1" applyFont="1" applyFill="1" applyBorder="1" applyAlignment="1">
      <alignment horizontal="right"/>
    </xf>
    <xf numFmtId="0" fontId="3" fillId="0" borderId="35" xfId="0" applyFont="1" applyFill="1" applyBorder="1" applyAlignment="1">
      <alignment horizontal="right"/>
    </xf>
    <xf numFmtId="164" fontId="3" fillId="0" borderId="57" xfId="0" applyNumberFormat="1" applyFont="1" applyFill="1" applyBorder="1" applyAlignment="1">
      <alignment horizontal="right"/>
    </xf>
    <xf numFmtId="164" fontId="3" fillId="0" borderId="33" xfId="0" applyNumberFormat="1" applyFont="1" applyFill="1" applyBorder="1" applyAlignment="1">
      <alignment horizontal="right"/>
    </xf>
    <xf numFmtId="3" fontId="3" fillId="0" borderId="33" xfId="0" applyNumberFormat="1" applyFont="1" applyBorder="1" applyAlignment="1">
      <alignment horizontal="right"/>
    </xf>
    <xf numFmtId="3" fontId="3" fillId="3" borderId="58" xfId="0" applyNumberFormat="1" applyFont="1" applyFill="1" applyBorder="1" applyAlignment="1">
      <alignment horizontal="right"/>
    </xf>
    <xf numFmtId="164" fontId="5" fillId="0" borderId="33" xfId="0" applyNumberFormat="1" applyFont="1" applyFill="1" applyBorder="1" applyAlignment="1">
      <alignment horizontal="right"/>
    </xf>
    <xf numFmtId="164" fontId="5" fillId="0" borderId="57" xfId="0" applyNumberFormat="1" applyFont="1" applyFill="1" applyBorder="1" applyAlignment="1">
      <alignment horizontal="right"/>
    </xf>
    <xf numFmtId="0" fontId="4" fillId="0" borderId="74" xfId="0" applyFont="1" applyBorder="1" applyAlignment="1">
      <alignment horizontal="right"/>
    </xf>
    <xf numFmtId="164" fontId="3" fillId="0" borderId="71" xfId="0" applyNumberFormat="1" applyFont="1" applyBorder="1" applyAlignment="1">
      <alignment horizontal="right"/>
    </xf>
    <xf numFmtId="164" fontId="3" fillId="0" borderId="36" xfId="0" applyNumberFormat="1" applyFont="1" applyBorder="1" applyAlignment="1">
      <alignment horizontal="right"/>
    </xf>
    <xf numFmtId="166" fontId="3" fillId="3" borderId="70" xfId="0" applyNumberFormat="1" applyFont="1" applyFill="1" applyBorder="1" applyAlignment="1">
      <alignment horizontal="right"/>
    </xf>
    <xf numFmtId="165" fontId="3" fillId="0" borderId="71" xfId="0" applyNumberFormat="1" applyFont="1" applyFill="1" applyBorder="1" applyAlignment="1">
      <alignment horizontal="right"/>
    </xf>
    <xf numFmtId="0" fontId="3" fillId="0" borderId="41" xfId="0" applyFont="1" applyFill="1" applyBorder="1" applyAlignment="1">
      <alignment horizontal="right"/>
    </xf>
    <xf numFmtId="164" fontId="3" fillId="0" borderId="71" xfId="0" applyNumberFormat="1" applyFont="1" applyFill="1" applyBorder="1" applyAlignment="1">
      <alignment horizontal="right"/>
    </xf>
    <xf numFmtId="164" fontId="3" fillId="0" borderId="36" xfId="0" applyNumberFormat="1" applyFont="1" applyFill="1" applyBorder="1" applyAlignment="1">
      <alignment horizontal="right"/>
    </xf>
    <xf numFmtId="3" fontId="3" fillId="0" borderId="36" xfId="0" applyNumberFormat="1" applyFont="1" applyBorder="1" applyAlignment="1">
      <alignment horizontal="right"/>
    </xf>
    <xf numFmtId="3" fontId="3" fillId="3" borderId="70" xfId="0" applyNumberFormat="1" applyFont="1" applyFill="1" applyBorder="1" applyAlignment="1">
      <alignment horizontal="right"/>
    </xf>
    <xf numFmtId="0" fontId="4" fillId="0" borderId="73" xfId="0" applyFont="1" applyBorder="1" applyAlignment="1">
      <alignment horizontal="right"/>
    </xf>
    <xf numFmtId="164" fontId="3" fillId="0" borderId="55" xfId="0" applyNumberFormat="1" applyFont="1" applyBorder="1" applyAlignment="1">
      <alignment horizontal="right"/>
    </xf>
    <xf numFmtId="166" fontId="3" fillId="3" borderId="56" xfId="0" applyNumberFormat="1" applyFont="1" applyFill="1" applyBorder="1" applyAlignment="1">
      <alignment horizontal="right"/>
    </xf>
    <xf numFmtId="165" fontId="3" fillId="0" borderId="55" xfId="0" applyNumberFormat="1" applyFont="1" applyFill="1" applyBorder="1" applyAlignment="1">
      <alignment horizontal="right"/>
    </xf>
    <xf numFmtId="0" fontId="3" fillId="0" borderId="45" xfId="0" applyFont="1" applyFill="1" applyBorder="1" applyAlignment="1">
      <alignment horizontal="right"/>
    </xf>
    <xf numFmtId="164" fontId="3" fillId="0" borderId="55" xfId="0" applyNumberFormat="1" applyFont="1" applyFill="1" applyBorder="1" applyAlignment="1">
      <alignment horizontal="right"/>
    </xf>
    <xf numFmtId="164" fontId="3" fillId="0" borderId="42" xfId="0" applyNumberFormat="1" applyFont="1" applyFill="1" applyBorder="1" applyAlignment="1">
      <alignment horizontal="right"/>
    </xf>
    <xf numFmtId="3" fontId="3" fillId="0" borderId="42" xfId="0" applyNumberFormat="1" applyFont="1" applyBorder="1" applyAlignment="1">
      <alignment horizontal="right"/>
    </xf>
    <xf numFmtId="3" fontId="3" fillId="3" borderId="56" xfId="0" applyNumberFormat="1" applyFont="1" applyFill="1" applyBorder="1" applyAlignment="1">
      <alignment horizontal="right"/>
    </xf>
    <xf numFmtId="165" fontId="3" fillId="0" borderId="64" xfId="0" applyNumberFormat="1" applyFont="1" applyBorder="1" applyAlignment="1">
      <alignment horizontal="right" vertical="center"/>
    </xf>
    <xf numFmtId="164" fontId="4" fillId="0" borderId="0" xfId="0" applyNumberFormat="1" applyFont="1" applyBorder="1" applyAlignment="1">
      <alignment horizontal="left" vertical="center" wrapText="1"/>
    </xf>
    <xf numFmtId="165" fontId="3" fillId="0" borderId="35" xfId="0" applyNumberFormat="1" applyFont="1" applyFill="1" applyBorder="1" applyAlignment="1">
      <alignment horizontal="right"/>
    </xf>
    <xf numFmtId="165" fontId="5" fillId="0" borderId="40" xfId="0" applyNumberFormat="1" applyFont="1" applyBorder="1" applyAlignment="1">
      <alignment horizontal="right" vertical="center"/>
    </xf>
    <xf numFmtId="165" fontId="3" fillId="0" borderId="43" xfId="0" applyNumberFormat="1" applyFont="1" applyBorder="1" applyAlignment="1">
      <alignment horizontal="right" vertical="center"/>
    </xf>
    <xf numFmtId="164" fontId="3" fillId="0" borderId="66" xfId="0" applyNumberFormat="1" applyFont="1" applyFill="1" applyBorder="1" applyAlignment="1">
      <alignment horizontal="right" vertical="center"/>
    </xf>
    <xf numFmtId="0" fontId="4" fillId="0" borderId="65" xfId="0" applyFont="1" applyFill="1" applyBorder="1" applyAlignment="1">
      <alignment horizontal="right" vertical="center"/>
    </xf>
    <xf numFmtId="0" fontId="4" fillId="0" borderId="59" xfId="0" applyFont="1" applyFill="1" applyBorder="1" applyAlignment="1">
      <alignment horizontal="left" vertical="center" indent="1"/>
    </xf>
    <xf numFmtId="164" fontId="3" fillId="0" borderId="48" xfId="0" applyNumberFormat="1" applyFont="1" applyFill="1" applyBorder="1" applyAlignment="1">
      <alignment horizontal="right" vertical="center"/>
    </xf>
    <xf numFmtId="164" fontId="3" fillId="0" borderId="50" xfId="0" applyNumberFormat="1" applyFont="1" applyFill="1" applyBorder="1" applyAlignment="1">
      <alignment horizontal="right" vertical="center"/>
    </xf>
    <xf numFmtId="166" fontId="3" fillId="0" borderId="50" xfId="2" applyNumberFormat="1" applyFont="1" applyFill="1" applyBorder="1" applyAlignment="1">
      <alignment horizontal="right" vertical="center"/>
    </xf>
    <xf numFmtId="164" fontId="3" fillId="0" borderId="60" xfId="0" applyNumberFormat="1" applyFont="1" applyFill="1" applyBorder="1" applyAlignment="1">
      <alignment horizontal="right" vertical="center"/>
    </xf>
    <xf numFmtId="164" fontId="3" fillId="4" borderId="42" xfId="0" applyNumberFormat="1" applyFont="1" applyFill="1" applyBorder="1" applyAlignment="1">
      <alignment horizontal="right" vertical="center"/>
    </xf>
    <xf numFmtId="164" fontId="3" fillId="4" borderId="33" xfId="0" applyNumberFormat="1" applyFont="1" applyFill="1" applyBorder="1" applyAlignment="1">
      <alignment horizontal="right" vertical="center"/>
    </xf>
    <xf numFmtId="164" fontId="3" fillId="4" borderId="47" xfId="0" applyNumberFormat="1" applyFont="1" applyFill="1" applyBorder="1" applyAlignment="1">
      <alignment horizontal="right" vertical="center"/>
    </xf>
    <xf numFmtId="164" fontId="3" fillId="4" borderId="37" xfId="0" applyNumberFormat="1" applyFont="1" applyFill="1" applyBorder="1" applyAlignment="1">
      <alignment horizontal="right" vertical="center"/>
    </xf>
    <xf numFmtId="0" fontId="4" fillId="0" borderId="76" xfId="0" applyFont="1" applyBorder="1" applyAlignment="1">
      <alignment horizontal="right"/>
    </xf>
    <xf numFmtId="0" fontId="4" fillId="0" borderId="75" xfId="0" applyFont="1" applyBorder="1" applyAlignment="1">
      <alignment horizontal="right"/>
    </xf>
    <xf numFmtId="164" fontId="3" fillId="0" borderId="59" xfId="0" applyNumberFormat="1" applyFont="1" applyBorder="1" applyAlignment="1">
      <alignment horizontal="right"/>
    </xf>
    <xf numFmtId="166" fontId="3" fillId="3" borderId="60" xfId="0" applyNumberFormat="1" applyFont="1" applyFill="1" applyBorder="1" applyAlignment="1">
      <alignment horizontal="right"/>
    </xf>
    <xf numFmtId="165" fontId="5" fillId="0" borderId="59" xfId="0" applyNumberFormat="1" applyFont="1" applyFill="1" applyBorder="1" applyAlignment="1">
      <alignment horizontal="right"/>
    </xf>
    <xf numFmtId="165" fontId="5" fillId="0" borderId="50" xfId="0" applyNumberFormat="1" applyFont="1" applyFill="1" applyBorder="1" applyAlignment="1">
      <alignment horizontal="right"/>
    </xf>
    <xf numFmtId="166" fontId="5" fillId="3" borderId="60" xfId="0" applyNumberFormat="1" applyFont="1" applyFill="1" applyBorder="1" applyAlignment="1">
      <alignment horizontal="right"/>
    </xf>
    <xf numFmtId="164" fontId="5" fillId="0" borderId="59" xfId="0" applyNumberFormat="1" applyFont="1" applyFill="1" applyBorder="1" applyAlignment="1">
      <alignment horizontal="right"/>
    </xf>
    <xf numFmtId="164" fontId="5" fillId="0" borderId="47" xfId="0" applyNumberFormat="1" applyFont="1" applyFill="1" applyBorder="1" applyAlignment="1">
      <alignment horizontal="right"/>
    </xf>
    <xf numFmtId="3" fontId="5" fillId="0" borderId="47" xfId="0" applyNumberFormat="1" applyFont="1" applyBorder="1" applyAlignment="1">
      <alignment horizontal="right"/>
    </xf>
    <xf numFmtId="3" fontId="5" fillId="3" borderId="60" xfId="0" applyNumberFormat="1" applyFont="1" applyFill="1" applyBorder="1" applyAlignment="1">
      <alignment horizontal="right"/>
    </xf>
    <xf numFmtId="0" fontId="0" fillId="0" borderId="0" xfId="0" applyBorder="1" applyAlignment="1"/>
    <xf numFmtId="0" fontId="4" fillId="0" borderId="14" xfId="0" quotePrefix="1" applyFont="1" applyBorder="1" applyAlignment="1">
      <alignment horizontal="right" wrapText="1"/>
    </xf>
    <xf numFmtId="0" fontId="4" fillId="3" borderId="15" xfId="0" quotePrefix="1" applyFont="1" applyFill="1" applyBorder="1" applyAlignment="1">
      <alignment horizontal="right" wrapText="1"/>
    </xf>
    <xf numFmtId="164" fontId="3" fillId="3" borderId="9" xfId="0" applyNumberFormat="1" applyFont="1" applyFill="1" applyBorder="1" applyAlignment="1">
      <alignment horizontal="right"/>
    </xf>
    <xf numFmtId="164" fontId="3" fillId="3" borderId="58" xfId="0" applyNumberFormat="1" applyFont="1" applyFill="1" applyBorder="1" applyAlignment="1">
      <alignment horizontal="right"/>
    </xf>
    <xf numFmtId="164" fontId="3" fillId="3" borderId="70" xfId="0" applyNumberFormat="1" applyFont="1" applyFill="1" applyBorder="1" applyAlignment="1">
      <alignment horizontal="right"/>
    </xf>
    <xf numFmtId="164" fontId="3" fillId="3" borderId="56" xfId="0" applyNumberFormat="1" applyFont="1" applyFill="1" applyBorder="1" applyAlignment="1">
      <alignment horizontal="right"/>
    </xf>
    <xf numFmtId="164" fontId="3" fillId="0" borderId="0" xfId="0" applyNumberFormat="1" applyFont="1" applyFill="1"/>
    <xf numFmtId="0" fontId="6" fillId="0" borderId="65" xfId="1" applyFont="1" applyFill="1" applyBorder="1" applyAlignment="1">
      <alignment horizontal="right"/>
    </xf>
    <xf numFmtId="164" fontId="3" fillId="0" borderId="48" xfId="0" applyNumberFormat="1" applyFont="1" applyFill="1" applyBorder="1" applyAlignment="1">
      <alignment horizontal="right"/>
    </xf>
    <xf numFmtId="164" fontId="5" fillId="0" borderId="49" xfId="0" applyNumberFormat="1" applyFont="1" applyFill="1" applyBorder="1" applyAlignment="1">
      <alignment horizontal="right"/>
    </xf>
    <xf numFmtId="164" fontId="5" fillId="0" borderId="50" xfId="1" applyNumberFormat="1" applyFont="1" applyFill="1" applyBorder="1" applyAlignment="1">
      <alignment horizontal="right"/>
    </xf>
    <xf numFmtId="164" fontId="5" fillId="0" borderId="49" xfId="1" applyNumberFormat="1" applyFont="1" applyFill="1" applyBorder="1" applyAlignment="1">
      <alignment horizontal="right"/>
    </xf>
    <xf numFmtId="164" fontId="5" fillId="0" borderId="48" xfId="1" applyNumberFormat="1" applyFont="1" applyFill="1" applyBorder="1" applyAlignment="1">
      <alignment horizontal="right"/>
    </xf>
    <xf numFmtId="166" fontId="5" fillId="0" borderId="50" xfId="2" applyNumberFormat="1" applyFont="1" applyFill="1" applyBorder="1" applyAlignment="1">
      <alignment horizontal="right"/>
    </xf>
    <xf numFmtId="164" fontId="5" fillId="0" borderId="47" xfId="1" applyNumberFormat="1" applyFont="1" applyFill="1" applyBorder="1" applyAlignment="1">
      <alignment horizontal="right"/>
    </xf>
    <xf numFmtId="164" fontId="5" fillId="0" borderId="47" xfId="1" applyNumberFormat="1" applyFont="1" applyFill="1" applyBorder="1" applyAlignment="1">
      <alignment horizontal="left" wrapText="1"/>
    </xf>
    <xf numFmtId="164" fontId="5" fillId="0" borderId="60" xfId="1" applyNumberFormat="1" applyFont="1" applyFill="1" applyBorder="1" applyAlignment="1">
      <alignment horizontal="left" wrapText="1"/>
    </xf>
    <xf numFmtId="164" fontId="5" fillId="0" borderId="77" xfId="1" applyNumberFormat="1" applyFont="1" applyBorder="1" applyAlignment="1">
      <alignment horizontal="left" wrapText="1"/>
    </xf>
    <xf numFmtId="0" fontId="19" fillId="0" borderId="0" xfId="1" applyFont="1" applyAlignment="1"/>
    <xf numFmtId="164" fontId="19" fillId="0" borderId="0" xfId="1" applyNumberFormat="1" applyFont="1" applyBorder="1" applyAlignment="1">
      <alignment horizontal="left" wrapText="1"/>
    </xf>
    <xf numFmtId="0" fontId="6" fillId="3" borderId="59" xfId="0" applyFont="1" applyFill="1" applyBorder="1" applyAlignment="1">
      <alignment horizontal="right" vertical="center"/>
    </xf>
    <xf numFmtId="166" fontId="5" fillId="3" borderId="50" xfId="2" applyNumberFormat="1" applyFont="1" applyFill="1" applyBorder="1" applyAlignment="1">
      <alignment horizontal="right" vertical="center"/>
    </xf>
    <xf numFmtId="164" fontId="21" fillId="0" borderId="56" xfId="3" applyNumberFormat="1" applyFill="1" applyBorder="1" applyAlignment="1">
      <alignment horizontal="left" vertical="center" wrapText="1"/>
    </xf>
    <xf numFmtId="0" fontId="5" fillId="0" borderId="0" xfId="1" applyFont="1" applyBorder="1" applyAlignment="1"/>
    <xf numFmtId="0" fontId="7" fillId="0" borderId="0" xfId="1" applyFont="1" applyBorder="1" applyAlignment="1">
      <alignment horizontal="left" wrapText="1"/>
    </xf>
    <xf numFmtId="0" fontId="7" fillId="0" borderId="0" xfId="1" applyFont="1" applyBorder="1"/>
    <xf numFmtId="2" fontId="4" fillId="0" borderId="0" xfId="0" applyNumberFormat="1" applyFont="1" applyAlignment="1">
      <alignment wrapText="1"/>
    </xf>
    <xf numFmtId="2" fontId="23" fillId="0" borderId="26" xfId="0" applyNumberFormat="1" applyFont="1" applyBorder="1" applyAlignment="1">
      <alignment horizontal="right" wrapText="1"/>
    </xf>
    <xf numFmtId="2" fontId="23" fillId="0" borderId="20" xfId="0" applyNumberFormat="1" applyFont="1" applyBorder="1" applyAlignment="1">
      <alignment horizontal="right" wrapText="1"/>
    </xf>
    <xf numFmtId="2" fontId="23" fillId="0" borderId="27" xfId="0" applyNumberFormat="1" applyFont="1" applyBorder="1" applyAlignment="1">
      <alignment horizontal="right" wrapText="1"/>
    </xf>
    <xf numFmtId="2" fontId="23" fillId="3" borderId="27" xfId="0" applyNumberFormat="1" applyFont="1" applyFill="1" applyBorder="1" applyAlignment="1">
      <alignment horizontal="right" wrapText="1"/>
    </xf>
    <xf numFmtId="0" fontId="22" fillId="0" borderId="32" xfId="0" applyFont="1" applyBorder="1" applyAlignment="1">
      <alignment horizontal="left" vertical="top"/>
    </xf>
    <xf numFmtId="167" fontId="25" fillId="0" borderId="63" xfId="0" applyNumberFormat="1" applyFont="1" applyBorder="1" applyAlignment="1" applyProtection="1">
      <alignment horizontal="left" vertical="center" wrapText="1"/>
    </xf>
    <xf numFmtId="3" fontId="25" fillId="0" borderId="63" xfId="0" applyNumberFormat="1" applyFont="1" applyBorder="1" applyAlignment="1" applyProtection="1">
      <alignment vertical="center" wrapText="1"/>
    </xf>
    <xf numFmtId="3" fontId="25" fillId="0" borderId="19" xfId="0" applyNumberFormat="1" applyFont="1" applyBorder="1" applyAlignment="1" applyProtection="1">
      <alignment vertical="center" wrapText="1"/>
    </xf>
    <xf numFmtId="3" fontId="25" fillId="0" borderId="64" xfId="0" applyNumberFormat="1" applyFont="1" applyBorder="1" applyAlignment="1" applyProtection="1">
      <alignment vertical="center" wrapText="1"/>
    </xf>
    <xf numFmtId="3" fontId="25" fillId="3" borderId="64" xfId="0" applyNumberFormat="1" applyFont="1" applyFill="1" applyBorder="1" applyAlignment="1" applyProtection="1">
      <alignment vertical="center" wrapText="1"/>
    </xf>
    <xf numFmtId="0" fontId="27" fillId="0" borderId="0" xfId="0" applyFont="1" applyAlignment="1">
      <alignment vertical="center"/>
    </xf>
    <xf numFmtId="167" fontId="26" fillId="0" borderId="63" xfId="0" quotePrefix="1" applyNumberFormat="1" applyFont="1" applyBorder="1" applyAlignment="1" applyProtection="1">
      <alignment horizontal="left" vertical="center" indent="1"/>
    </xf>
    <xf numFmtId="2" fontId="25" fillId="0" borderId="63" xfId="0" quotePrefix="1" applyNumberFormat="1" applyFont="1" applyBorder="1" applyAlignment="1" applyProtection="1">
      <alignment horizontal="right" vertical="center" wrapText="1"/>
    </xf>
    <xf numFmtId="2" fontId="25" fillId="0" borderId="19" xfId="0" quotePrefix="1" applyNumberFormat="1" applyFont="1" applyBorder="1" applyAlignment="1" applyProtection="1">
      <alignment horizontal="right" vertical="center" wrapText="1"/>
    </xf>
    <xf numFmtId="2" fontId="25" fillId="0" borderId="64" xfId="0" quotePrefix="1" applyNumberFormat="1" applyFont="1" applyBorder="1" applyAlignment="1" applyProtection="1">
      <alignment horizontal="right" vertical="center" wrapText="1"/>
    </xf>
    <xf numFmtId="0" fontId="28" fillId="0" borderId="0" xfId="0" applyFont="1" applyAlignment="1">
      <alignment vertical="center"/>
    </xf>
    <xf numFmtId="167" fontId="26" fillId="0" borderId="63" xfId="0" applyNumberFormat="1" applyFont="1" applyBorder="1" applyAlignment="1" applyProtection="1">
      <alignment horizontal="left" vertical="center"/>
    </xf>
    <xf numFmtId="3" fontId="26" fillId="0" borderId="63" xfId="0" applyNumberFormat="1" applyFont="1" applyBorder="1" applyAlignment="1" applyProtection="1">
      <alignment horizontal="right" vertical="center" wrapText="1"/>
    </xf>
    <xf numFmtId="3" fontId="26" fillId="0" borderId="19" xfId="0" applyNumberFormat="1" applyFont="1" applyBorder="1" applyAlignment="1" applyProtection="1">
      <alignment horizontal="right" vertical="center" wrapText="1"/>
    </xf>
    <xf numFmtId="3" fontId="26" fillId="0" borderId="64" xfId="0" applyNumberFormat="1" applyFont="1" applyBorder="1" applyAlignment="1" applyProtection="1">
      <alignment horizontal="right" vertical="center" wrapText="1"/>
    </xf>
    <xf numFmtId="3" fontId="26" fillId="3" borderId="64" xfId="0" applyNumberFormat="1" applyFont="1" applyFill="1" applyBorder="1" applyAlignment="1" applyProtection="1">
      <alignment horizontal="right" vertical="center" wrapText="1"/>
    </xf>
    <xf numFmtId="3" fontId="28" fillId="0" borderId="0" xfId="0" applyNumberFormat="1" applyFont="1" applyAlignment="1">
      <alignment vertical="center"/>
    </xf>
    <xf numFmtId="166" fontId="26" fillId="0" borderId="63" xfId="2" applyNumberFormat="1" applyFont="1" applyBorder="1" applyAlignment="1" applyProtection="1">
      <alignment horizontal="right" vertical="center" wrapText="1"/>
    </xf>
    <xf numFmtId="166" fontId="26" fillId="0" borderId="19" xfId="2" applyNumberFormat="1" applyFont="1" applyBorder="1" applyAlignment="1" applyProtection="1">
      <alignment horizontal="right" vertical="center" wrapText="1"/>
    </xf>
    <xf numFmtId="166" fontId="26" fillId="0" borderId="64" xfId="2" applyNumberFormat="1" applyFont="1" applyBorder="1" applyAlignment="1" applyProtection="1">
      <alignment horizontal="right" vertical="center" wrapText="1"/>
    </xf>
    <xf numFmtId="166" fontId="26" fillId="3" borderId="64" xfId="2" applyNumberFormat="1" applyFont="1" applyFill="1" applyBorder="1" applyAlignment="1" applyProtection="1">
      <alignment horizontal="right" vertical="center" wrapText="1"/>
    </xf>
    <xf numFmtId="3" fontId="26" fillId="0" borderId="63" xfId="0" quotePrefix="1" applyNumberFormat="1" applyFont="1" applyBorder="1" applyAlignment="1" applyProtection="1">
      <alignment horizontal="right" vertical="center" wrapText="1"/>
    </xf>
    <xf numFmtId="3" fontId="26" fillId="0" borderId="19" xfId="0" quotePrefix="1" applyNumberFormat="1" applyFont="1" applyBorder="1" applyAlignment="1" applyProtection="1">
      <alignment horizontal="right" vertical="center" wrapText="1"/>
    </xf>
    <xf numFmtId="3" fontId="26" fillId="0" borderId="64" xfId="0" quotePrefix="1" applyNumberFormat="1" applyFont="1" applyBorder="1" applyAlignment="1" applyProtection="1">
      <alignment horizontal="right" vertical="center" wrapText="1"/>
    </xf>
    <xf numFmtId="3" fontId="26" fillId="3" borderId="64" xfId="0" quotePrefix="1" applyNumberFormat="1" applyFont="1" applyFill="1" applyBorder="1" applyAlignment="1" applyProtection="1">
      <alignment horizontal="right" vertical="center" wrapText="1"/>
    </xf>
    <xf numFmtId="167" fontId="26" fillId="0" borderId="67" xfId="0" quotePrefix="1" applyNumberFormat="1" applyFont="1" applyBorder="1" applyAlignment="1" applyProtection="1">
      <alignment horizontal="left" vertical="center" indent="1"/>
    </xf>
    <xf numFmtId="167" fontId="25" fillId="0" borderId="63" xfId="0" quotePrefix="1" applyNumberFormat="1" applyFont="1" applyBorder="1" applyAlignment="1" applyProtection="1">
      <alignment horizontal="left" vertical="center" wrapText="1"/>
    </xf>
    <xf numFmtId="10" fontId="25" fillId="0" borderId="63" xfId="2" applyNumberFormat="1" applyFont="1" applyBorder="1" applyAlignment="1" applyProtection="1">
      <alignment horizontal="right" vertical="center" wrapText="1"/>
    </xf>
    <xf numFmtId="10" fontId="25" fillId="0" borderId="19" xfId="2" applyNumberFormat="1" applyFont="1" applyBorder="1" applyAlignment="1" applyProtection="1">
      <alignment horizontal="right" vertical="center" wrapText="1"/>
    </xf>
    <xf numFmtId="167" fontId="26" fillId="0" borderId="67" xfId="0" applyNumberFormat="1" applyFont="1" applyBorder="1" applyAlignment="1" applyProtection="1">
      <alignment horizontal="left" vertical="center" indent="1"/>
    </xf>
    <xf numFmtId="167" fontId="26" fillId="0" borderId="63" xfId="0" applyNumberFormat="1" applyFont="1" applyBorder="1" applyAlignment="1" applyProtection="1">
      <alignment horizontal="left" vertical="center" indent="1"/>
    </xf>
    <xf numFmtId="167" fontId="26" fillId="0" borderId="65" xfId="0" applyNumberFormat="1" applyFont="1" applyBorder="1" applyAlignment="1" applyProtection="1">
      <alignment horizontal="left" vertical="center" indent="1"/>
    </xf>
    <xf numFmtId="3" fontId="26" fillId="0" borderId="65" xfId="0" quotePrefix="1" applyNumberFormat="1" applyFont="1" applyBorder="1" applyAlignment="1" applyProtection="1">
      <alignment horizontal="right" vertical="center" wrapText="1"/>
    </xf>
    <xf numFmtId="3" fontId="26" fillId="0" borderId="49" xfId="0" quotePrefix="1" applyNumberFormat="1" applyFont="1" applyBorder="1" applyAlignment="1" applyProtection="1">
      <alignment horizontal="right" vertical="center" wrapText="1"/>
    </xf>
    <xf numFmtId="3" fontId="26" fillId="0" borderId="66" xfId="0" quotePrefix="1" applyNumberFormat="1" applyFont="1" applyBorder="1" applyAlignment="1" applyProtection="1">
      <alignment horizontal="right" vertical="center" wrapText="1"/>
    </xf>
    <xf numFmtId="3" fontId="26" fillId="3" borderId="66" xfId="0" quotePrefix="1" applyNumberFormat="1" applyFont="1" applyFill="1" applyBorder="1" applyAlignment="1" applyProtection="1">
      <alignment horizontal="right" vertical="center" wrapText="1"/>
    </xf>
    <xf numFmtId="167" fontId="26" fillId="0" borderId="0" xfId="0" applyNumberFormat="1" applyFont="1" applyBorder="1" applyAlignment="1" applyProtection="1">
      <alignment horizontal="left" vertical="center" indent="1"/>
    </xf>
    <xf numFmtId="3" fontId="26" fillId="0" borderId="0" xfId="0" quotePrefix="1" applyNumberFormat="1" applyFont="1" applyBorder="1" applyAlignment="1" applyProtection="1">
      <alignment horizontal="right" vertical="center" wrapText="1"/>
    </xf>
    <xf numFmtId="3" fontId="26" fillId="0" borderId="0" xfId="0" quotePrefix="1" applyNumberFormat="1" applyFont="1" applyFill="1" applyBorder="1" applyAlignment="1" applyProtection="1">
      <alignment horizontal="right" vertical="center" wrapText="1"/>
    </xf>
    <xf numFmtId="167" fontId="25" fillId="0" borderId="26" xfId="0" applyNumberFormat="1" applyFont="1" applyBorder="1" applyAlignment="1" applyProtection="1">
      <alignment horizontal="left" vertical="center" indent="1"/>
    </xf>
    <xf numFmtId="3" fontId="25" fillId="0" borderId="20" xfId="0" quotePrefix="1" applyNumberFormat="1" applyFont="1" applyBorder="1" applyAlignment="1" applyProtection="1">
      <alignment horizontal="right" vertical="center" wrapText="1"/>
    </xf>
    <xf numFmtId="1" fontId="25" fillId="5" borderId="20" xfId="0" quotePrefix="1" applyNumberFormat="1" applyFont="1" applyFill="1" applyBorder="1" applyAlignment="1" applyProtection="1">
      <alignment horizontal="right" vertical="center" wrapText="1"/>
    </xf>
    <xf numFmtId="1" fontId="25" fillId="4" borderId="19" xfId="0" quotePrefix="1" applyNumberFormat="1" applyFont="1" applyFill="1" applyBorder="1" applyAlignment="1" applyProtection="1">
      <alignment horizontal="right" vertical="center" wrapText="1"/>
    </xf>
    <xf numFmtId="1" fontId="25" fillId="4" borderId="24" xfId="0" quotePrefix="1" applyNumberFormat="1" applyFont="1" applyFill="1" applyBorder="1" applyAlignment="1" applyProtection="1">
      <alignment horizontal="right" vertical="center" wrapText="1"/>
    </xf>
    <xf numFmtId="1" fontId="25" fillId="5" borderId="19" xfId="0" quotePrefix="1" applyNumberFormat="1" applyFont="1" applyFill="1" applyBorder="1" applyAlignment="1" applyProtection="1">
      <alignment horizontal="right" vertical="center" wrapText="1"/>
    </xf>
    <xf numFmtId="1" fontId="25" fillId="4" borderId="20" xfId="0" quotePrefix="1" applyNumberFormat="1" applyFont="1" applyFill="1" applyBorder="1" applyAlignment="1" applyProtection="1">
      <alignment horizontal="right" vertical="center" wrapText="1"/>
    </xf>
    <xf numFmtId="1" fontId="25" fillId="5" borderId="24" xfId="0" quotePrefix="1" applyNumberFormat="1" applyFont="1" applyFill="1" applyBorder="1" applyAlignment="1" applyProtection="1">
      <alignment horizontal="right" vertical="center" wrapText="1"/>
    </xf>
    <xf numFmtId="1" fontId="25" fillId="4" borderId="0" xfId="0" quotePrefix="1" applyNumberFormat="1" applyFont="1" applyFill="1" applyBorder="1" applyAlignment="1" applyProtection="1">
      <alignment horizontal="right" vertical="center" wrapText="1"/>
    </xf>
    <xf numFmtId="1" fontId="25" fillId="0" borderId="24" xfId="0" quotePrefix="1" applyNumberFormat="1" applyFont="1" applyFill="1" applyBorder="1" applyAlignment="1" applyProtection="1">
      <alignment horizontal="right" vertical="center" wrapText="1"/>
    </xf>
    <xf numFmtId="0" fontId="24" fillId="0" borderId="0" xfId="0" applyFont="1"/>
    <xf numFmtId="2" fontId="23" fillId="0" borderId="0" xfId="0" applyNumberFormat="1" applyFont="1" applyAlignment="1">
      <alignment wrapText="1"/>
    </xf>
    <xf numFmtId="0" fontId="26" fillId="0" borderId="0" xfId="1" applyFont="1"/>
    <xf numFmtId="0" fontId="26" fillId="0" borderId="0" xfId="1" applyFont="1" applyFill="1"/>
    <xf numFmtId="2" fontId="23" fillId="0" borderId="0" xfId="0" applyNumberFormat="1" applyFont="1" applyFill="1" applyAlignment="1">
      <alignment wrapText="1"/>
    </xf>
    <xf numFmtId="2" fontId="23" fillId="0" borderId="20" xfId="0" applyNumberFormat="1" applyFont="1" applyFill="1" applyBorder="1" applyAlignment="1">
      <alignment horizontal="right" wrapText="1"/>
    </xf>
    <xf numFmtId="3" fontId="25" fillId="0" borderId="19" xfId="0" applyNumberFormat="1" applyFont="1" applyFill="1" applyBorder="1" applyAlignment="1" applyProtection="1">
      <alignment vertical="center" wrapText="1"/>
    </xf>
    <xf numFmtId="3" fontId="26" fillId="0" borderId="19" xfId="0" applyNumberFormat="1" applyFont="1" applyFill="1" applyBorder="1" applyAlignment="1" applyProtection="1">
      <alignment horizontal="right" vertical="center" wrapText="1"/>
    </xf>
    <xf numFmtId="166" fontId="26" fillId="0" borderId="19" xfId="2" applyNumberFormat="1" applyFont="1" applyFill="1" applyBorder="1" applyAlignment="1" applyProtection="1">
      <alignment horizontal="right" vertical="center" wrapText="1"/>
    </xf>
    <xf numFmtId="3" fontId="26" fillId="0" borderId="19" xfId="0" quotePrefix="1" applyNumberFormat="1" applyFont="1" applyFill="1" applyBorder="1" applyAlignment="1" applyProtection="1">
      <alignment horizontal="right" vertical="center" wrapText="1"/>
    </xf>
    <xf numFmtId="3" fontId="25" fillId="0" borderId="63" xfId="0" applyNumberFormat="1" applyFont="1" applyFill="1" applyBorder="1" applyAlignment="1" applyProtection="1">
      <alignment vertical="center" wrapText="1"/>
    </xf>
    <xf numFmtId="10" fontId="25" fillId="0" borderId="63" xfId="2" applyNumberFormat="1" applyFont="1" applyFill="1" applyBorder="1" applyAlignment="1">
      <alignment vertical="center"/>
    </xf>
    <xf numFmtId="3" fontId="26" fillId="0" borderId="49" xfId="0" quotePrefix="1" applyNumberFormat="1" applyFont="1" applyFill="1" applyBorder="1" applyAlignment="1" applyProtection="1">
      <alignment horizontal="right" vertical="center" wrapText="1"/>
    </xf>
    <xf numFmtId="10" fontId="25" fillId="3" borderId="64" xfId="2" applyNumberFormat="1" applyFont="1" applyFill="1" applyBorder="1" applyAlignment="1">
      <alignment vertical="center"/>
    </xf>
    <xf numFmtId="3" fontId="26" fillId="0" borderId="67" xfId="0" quotePrefix="1" applyNumberFormat="1" applyFont="1" applyBorder="1" applyAlignment="1" applyProtection="1">
      <alignment horizontal="right" vertical="center" wrapText="1"/>
    </xf>
    <xf numFmtId="3" fontId="26" fillId="0" borderId="22" xfId="0" quotePrefix="1" applyNumberFormat="1" applyFont="1" applyBorder="1" applyAlignment="1" applyProtection="1">
      <alignment horizontal="right" vertical="center" wrapText="1"/>
    </xf>
    <xf numFmtId="3" fontId="26" fillId="0" borderId="77" xfId="0" quotePrefix="1" applyNumberFormat="1" applyFont="1" applyBorder="1" applyAlignment="1" applyProtection="1">
      <alignment horizontal="right" vertical="center" wrapText="1"/>
    </xf>
    <xf numFmtId="3" fontId="26" fillId="0" borderId="22" xfId="0" quotePrefix="1" applyNumberFormat="1" applyFont="1" applyFill="1" applyBorder="1" applyAlignment="1" applyProtection="1">
      <alignment horizontal="right" vertical="center" wrapText="1"/>
    </xf>
    <xf numFmtId="3" fontId="26" fillId="3" borderId="77" xfId="0" quotePrefix="1" applyNumberFormat="1" applyFont="1" applyFill="1" applyBorder="1" applyAlignment="1" applyProtection="1">
      <alignment horizontal="right" vertical="center" wrapText="1"/>
    </xf>
    <xf numFmtId="0" fontId="0" fillId="0" borderId="0" xfId="0" applyAlignment="1">
      <alignment wrapText="1"/>
    </xf>
    <xf numFmtId="0" fontId="0" fillId="0" borderId="0" xfId="0" applyAlignment="1"/>
    <xf numFmtId="166" fontId="5" fillId="3" borderId="58" xfId="0" applyNumberFormat="1" applyFont="1" applyFill="1" applyBorder="1" applyAlignment="1">
      <alignment horizontal="right"/>
    </xf>
    <xf numFmtId="166" fontId="5" fillId="3" borderId="70" xfId="0" applyNumberFormat="1" applyFont="1" applyFill="1" applyBorder="1" applyAlignment="1">
      <alignment horizontal="right"/>
    </xf>
    <xf numFmtId="166" fontId="5" fillId="3" borderId="56" xfId="0" applyNumberFormat="1" applyFont="1" applyFill="1" applyBorder="1" applyAlignment="1">
      <alignment horizontal="right"/>
    </xf>
    <xf numFmtId="164" fontId="4" fillId="0" borderId="53" xfId="0" applyNumberFormat="1" applyFont="1" applyBorder="1" applyAlignment="1">
      <alignment horizontal="center" vertical="top" wrapText="1"/>
    </xf>
    <xf numFmtId="164" fontId="5" fillId="0" borderId="8" xfId="1" applyNumberFormat="1" applyFont="1" applyFill="1" applyBorder="1" applyAlignment="1">
      <alignment horizontal="right"/>
    </xf>
    <xf numFmtId="164" fontId="5" fillId="0" borderId="47" xfId="1" applyNumberFormat="1" applyFont="1" applyBorder="1" applyAlignment="1">
      <alignment horizontal="right"/>
    </xf>
    <xf numFmtId="0" fontId="3" fillId="0" borderId="0" xfId="0" quotePrefix="1" applyFont="1" applyAlignment="1">
      <alignment wrapText="1"/>
    </xf>
    <xf numFmtId="0" fontId="3" fillId="0" borderId="0" xfId="0" quotePrefix="1" applyFont="1"/>
    <xf numFmtId="0" fontId="4" fillId="0" borderId="0" xfId="0" applyFont="1" applyBorder="1" applyAlignment="1">
      <alignment horizontal="right"/>
    </xf>
    <xf numFmtId="0" fontId="15" fillId="0" borderId="0" xfId="0" applyFont="1" applyBorder="1" applyAlignment="1">
      <alignment horizontal="center" vertical="center" textRotation="90" wrapText="1"/>
    </xf>
    <xf numFmtId="0" fontId="3" fillId="0" borderId="0" xfId="0" applyFont="1" applyBorder="1" applyAlignment="1">
      <alignment horizontal="left" vertical="top" wrapText="1"/>
    </xf>
    <xf numFmtId="0" fontId="0" fillId="0" borderId="0" xfId="0" applyBorder="1" applyAlignment="1">
      <alignment horizontal="left" vertical="top" wrapText="1"/>
    </xf>
    <xf numFmtId="0" fontId="3" fillId="0" borderId="4" xfId="0" applyFont="1" applyFill="1" applyBorder="1"/>
    <xf numFmtId="0" fontId="4" fillId="0" borderId="6" xfId="0" applyFont="1" applyFill="1" applyBorder="1" applyAlignment="1">
      <alignment horizontal="right" wrapText="1"/>
    </xf>
    <xf numFmtId="0" fontId="4" fillId="0" borderId="5" xfId="0" applyFont="1" applyFill="1" applyBorder="1" applyAlignment="1">
      <alignment horizontal="right"/>
    </xf>
    <xf numFmtId="0" fontId="4" fillId="0" borderId="72" xfId="0" applyFont="1" applyFill="1" applyBorder="1" applyAlignment="1">
      <alignment horizontal="right"/>
    </xf>
    <xf numFmtId="0" fontId="4" fillId="0" borderId="74" xfId="0" applyFont="1" applyFill="1" applyBorder="1" applyAlignment="1">
      <alignment horizontal="right"/>
    </xf>
    <xf numFmtId="0" fontId="4" fillId="0" borderId="73" xfId="0" applyFont="1" applyFill="1" applyBorder="1" applyAlignment="1">
      <alignment horizontal="right"/>
    </xf>
    <xf numFmtId="0" fontId="6" fillId="0" borderId="73" xfId="0" applyFont="1" applyFill="1" applyBorder="1" applyAlignment="1">
      <alignment horizontal="right"/>
    </xf>
    <xf numFmtId="0" fontId="6" fillId="0" borderId="75" xfId="0" applyFont="1" applyFill="1" applyBorder="1" applyAlignment="1">
      <alignment horizontal="right"/>
    </xf>
    <xf numFmtId="0" fontId="4" fillId="0" borderId="15" xfId="0" quotePrefix="1" applyFont="1" applyBorder="1" applyAlignment="1">
      <alignment horizontal="right" wrapText="1"/>
    </xf>
    <xf numFmtId="0" fontId="4" fillId="0" borderId="13" xfId="0" quotePrefix="1" applyFont="1" applyBorder="1" applyAlignment="1">
      <alignment horizontal="right" wrapText="1"/>
    </xf>
    <xf numFmtId="164" fontId="3" fillId="0" borderId="9" xfId="0" applyNumberFormat="1" applyFont="1" applyFill="1" applyBorder="1" applyAlignment="1">
      <alignment horizontal="right"/>
    </xf>
    <xf numFmtId="164" fontId="3" fillId="0" borderId="58" xfId="0" applyNumberFormat="1" applyFont="1" applyFill="1" applyBorder="1" applyAlignment="1">
      <alignment horizontal="right"/>
    </xf>
    <xf numFmtId="164" fontId="3" fillId="0" borderId="70" xfId="0" applyNumberFormat="1" applyFont="1" applyFill="1" applyBorder="1" applyAlignment="1">
      <alignment horizontal="right"/>
    </xf>
    <xf numFmtId="164" fontId="3" fillId="0" borderId="56" xfId="0" applyNumberFormat="1" applyFont="1" applyFill="1" applyBorder="1" applyAlignment="1">
      <alignment horizontal="right"/>
    </xf>
    <xf numFmtId="168" fontId="3" fillId="0" borderId="0" xfId="0" applyNumberFormat="1" applyFont="1"/>
    <xf numFmtId="0" fontId="4" fillId="3" borderId="79" xfId="0" quotePrefix="1" applyFont="1" applyFill="1" applyBorder="1" applyAlignment="1">
      <alignment horizontal="right" vertical="top" wrapText="1"/>
    </xf>
    <xf numFmtId="0" fontId="4" fillId="0" borderId="4" xfId="0" quotePrefix="1" applyFont="1" applyFill="1" applyBorder="1" applyAlignment="1">
      <alignment horizontal="center" vertical="center" wrapText="1"/>
    </xf>
    <xf numFmtId="168" fontId="3" fillId="0" borderId="0" xfId="0" applyNumberFormat="1" applyFont="1" applyFill="1"/>
    <xf numFmtId="0" fontId="3" fillId="0" borderId="0" xfId="0" applyFont="1" applyFill="1" applyAlignment="1">
      <alignment horizontal="left"/>
    </xf>
    <xf numFmtId="0" fontId="7" fillId="0" borderId="0" xfId="1" applyFill="1" applyBorder="1"/>
    <xf numFmtId="0" fontId="7" fillId="0" borderId="0" xfId="1" applyFill="1" applyBorder="1" applyAlignment="1">
      <alignment horizontal="left" wrapText="1"/>
    </xf>
    <xf numFmtId="0" fontId="7" fillId="0" borderId="0" xfId="1" applyFill="1"/>
    <xf numFmtId="0" fontId="3" fillId="0" borderId="0" xfId="0" applyFont="1" applyAlignment="1">
      <alignment horizontal="right" vertical="top"/>
    </xf>
    <xf numFmtId="165" fontId="3" fillId="0" borderId="19" xfId="0" applyNumberFormat="1" applyFont="1" applyBorder="1" applyAlignment="1">
      <alignment horizontal="right" vertical="center"/>
    </xf>
    <xf numFmtId="0" fontId="3" fillId="0" borderId="0" xfId="0" applyFont="1" applyBorder="1" applyAlignment="1">
      <alignment horizontal="right" vertical="top"/>
    </xf>
    <xf numFmtId="0" fontId="3" fillId="0" borderId="0" xfId="0" applyFont="1" applyBorder="1" applyAlignment="1">
      <alignment horizontal="left" vertical="center"/>
    </xf>
    <xf numFmtId="165" fontId="3" fillId="0" borderId="44" xfId="0" applyNumberFormat="1" applyFont="1" applyBorder="1" applyAlignment="1">
      <alignment horizontal="right" vertical="center"/>
    </xf>
    <xf numFmtId="0" fontId="3" fillId="0" borderId="0" xfId="0" applyFont="1" applyAlignment="1"/>
    <xf numFmtId="164" fontId="3" fillId="6" borderId="33" xfId="0" applyNumberFormat="1" applyFont="1" applyFill="1" applyBorder="1" applyAlignment="1">
      <alignment horizontal="right" vertical="center"/>
    </xf>
    <xf numFmtId="0" fontId="4" fillId="0" borderId="42" xfId="0" applyFont="1" applyBorder="1" applyAlignment="1">
      <alignment horizontal="center" vertical="center"/>
    </xf>
    <xf numFmtId="0" fontId="4" fillId="0" borderId="0" xfId="0" applyFont="1" applyFill="1" applyBorder="1" applyAlignment="1">
      <alignment horizontal="right" vertical="center"/>
    </xf>
    <xf numFmtId="166" fontId="3" fillId="0" borderId="0" xfId="0" applyNumberFormat="1" applyFont="1" applyFill="1" applyBorder="1" applyAlignment="1">
      <alignment horizontal="right" vertical="center"/>
    </xf>
    <xf numFmtId="164" fontId="5" fillId="0" borderId="0" xfId="1" applyNumberFormat="1" applyFont="1" applyFill="1" applyBorder="1" applyAlignment="1">
      <alignment horizontal="right"/>
    </xf>
    <xf numFmtId="165" fontId="3" fillId="0" borderId="0" xfId="0" applyNumberFormat="1" applyFont="1" applyFill="1" applyAlignment="1">
      <alignment horizontal="right" vertical="center" indent="1"/>
    </xf>
    <xf numFmtId="0" fontId="3" fillId="0" borderId="0" xfId="0" applyFont="1" applyFill="1" applyAlignment="1">
      <alignment horizontal="right" vertical="center" indent="1"/>
    </xf>
    <xf numFmtId="0" fontId="6" fillId="0" borderId="0" xfId="0" applyFont="1" applyFill="1" applyBorder="1" applyAlignment="1">
      <alignment horizontal="right" vertical="center"/>
    </xf>
    <xf numFmtId="165" fontId="5" fillId="0" borderId="0" xfId="0" applyNumberFormat="1" applyFont="1" applyFill="1" applyBorder="1" applyAlignment="1">
      <alignment horizontal="right"/>
    </xf>
    <xf numFmtId="164" fontId="5" fillId="0" borderId="0" xfId="0" applyNumberFormat="1" applyFont="1" applyFill="1" applyBorder="1" applyAlignment="1">
      <alignment horizontal="right"/>
    </xf>
    <xf numFmtId="0" fontId="4" fillId="0" borderId="0" xfId="0" applyFont="1" applyFill="1" applyBorder="1" applyAlignment="1">
      <alignment horizontal="right"/>
    </xf>
    <xf numFmtId="164" fontId="3" fillId="0" borderId="0" xfId="0" applyNumberFormat="1" applyFont="1" applyFill="1" applyBorder="1" applyAlignment="1">
      <alignment horizontal="right"/>
    </xf>
    <xf numFmtId="166" fontId="3" fillId="0" borderId="0" xfId="0" applyNumberFormat="1" applyFont="1" applyFill="1" applyBorder="1" applyAlignment="1">
      <alignment horizontal="right"/>
    </xf>
    <xf numFmtId="166" fontId="5" fillId="0" borderId="0" xfId="0" applyNumberFormat="1" applyFont="1" applyFill="1" applyBorder="1" applyAlignment="1">
      <alignment horizontal="right"/>
    </xf>
    <xf numFmtId="3" fontId="5" fillId="0" borderId="0" xfId="0" applyNumberFormat="1" applyFont="1" applyFill="1" applyBorder="1" applyAlignment="1">
      <alignment horizontal="right"/>
    </xf>
    <xf numFmtId="0" fontId="3" fillId="0" borderId="0" xfId="0" applyFont="1" applyFill="1" applyAlignment="1">
      <alignment horizontal="right"/>
    </xf>
    <xf numFmtId="1" fontId="25" fillId="0" borderId="0" xfId="0" quotePrefix="1" applyNumberFormat="1" applyFont="1" applyFill="1" applyBorder="1" applyAlignment="1" applyProtection="1">
      <alignment horizontal="right" vertical="center" wrapText="1"/>
    </xf>
    <xf numFmtId="0" fontId="0" fillId="0" borderId="0" xfId="0" applyFont="1" applyFill="1" applyBorder="1" applyAlignment="1">
      <alignment horizontal="left" vertical="center" wrapText="1" indent="1"/>
    </xf>
    <xf numFmtId="3" fontId="26" fillId="0" borderId="0" xfId="0" quotePrefix="1" applyNumberFormat="1" applyFont="1" applyFill="1" applyBorder="1" applyAlignment="1" applyProtection="1">
      <alignment horizontal="left" vertical="center" wrapText="1"/>
    </xf>
    <xf numFmtId="0" fontId="0" fillId="0" borderId="0" xfId="0" applyFill="1" applyBorder="1" applyAlignment="1">
      <alignment horizontal="left" vertical="center" wrapText="1"/>
    </xf>
    <xf numFmtId="0" fontId="27" fillId="0" borderId="0" xfId="0" applyFont="1" applyFill="1" applyAlignment="1">
      <alignment vertical="center"/>
    </xf>
    <xf numFmtId="0" fontId="29" fillId="0" borderId="0" xfId="1" applyFont="1" applyBorder="1"/>
    <xf numFmtId="2" fontId="23" fillId="0" borderId="0" xfId="0" applyNumberFormat="1" applyFont="1" applyBorder="1" applyAlignment="1">
      <alignment wrapText="1"/>
    </xf>
    <xf numFmtId="0" fontId="24" fillId="0" borderId="26" xfId="0" applyFont="1" applyBorder="1" applyAlignment="1">
      <alignment horizontal="left" vertical="top" wrapText="1"/>
    </xf>
    <xf numFmtId="0" fontId="4" fillId="0" borderId="23" xfId="0" applyFont="1" applyBorder="1" applyAlignment="1">
      <alignment horizontal="right" wrapText="1"/>
    </xf>
    <xf numFmtId="0" fontId="4" fillId="0" borderId="24" xfId="0" applyFont="1" applyBorder="1" applyAlignment="1">
      <alignment horizontal="right" vertical="top" wrapText="1"/>
    </xf>
    <xf numFmtId="0" fontId="4" fillId="0" borderId="25" xfId="0" applyFont="1" applyBorder="1" applyAlignment="1">
      <alignment horizontal="right" vertical="top" wrapText="1"/>
    </xf>
    <xf numFmtId="0" fontId="4" fillId="0" borderId="0" xfId="0" applyFont="1" applyBorder="1" applyAlignment="1">
      <alignment horizontal="right" vertical="top" wrapText="1"/>
    </xf>
    <xf numFmtId="165" fontId="3" fillId="0" borderId="49" xfId="0" applyNumberFormat="1" applyFont="1" applyBorder="1" applyAlignment="1">
      <alignment horizontal="right" vertical="center"/>
    </xf>
    <xf numFmtId="0" fontId="4" fillId="0" borderId="26" xfId="0" applyFont="1" applyBorder="1" applyAlignment="1">
      <alignment wrapText="1"/>
    </xf>
    <xf numFmtId="0" fontId="4" fillId="0" borderId="20" xfId="0" applyFont="1" applyBorder="1" applyAlignment="1">
      <alignment wrapText="1"/>
    </xf>
    <xf numFmtId="0" fontId="4" fillId="0" borderId="32" xfId="0" applyFont="1" applyBorder="1" applyAlignment="1">
      <alignment horizontal="right" wrapText="1"/>
    </xf>
    <xf numFmtId="0" fontId="4" fillId="0" borderId="31" xfId="0" applyFont="1" applyBorder="1" applyAlignment="1">
      <alignment horizontal="right" vertical="top" wrapText="1"/>
    </xf>
    <xf numFmtId="0" fontId="3" fillId="0" borderId="0" xfId="0" applyFont="1" applyAlignment="1">
      <alignment vertical="top"/>
    </xf>
    <xf numFmtId="0" fontId="39" fillId="0" borderId="46" xfId="0" applyFont="1" applyFill="1" applyBorder="1" applyAlignment="1">
      <alignment horizontal="left" wrapText="1"/>
    </xf>
    <xf numFmtId="164" fontId="41" fillId="0" borderId="43" xfId="0" applyNumberFormat="1" applyFont="1" applyFill="1" applyBorder="1" applyAlignment="1">
      <alignment horizontal="right" vertical="center"/>
    </xf>
    <xf numFmtId="164" fontId="41" fillId="0" borderId="34" xfId="0" applyNumberFormat="1" applyFont="1" applyFill="1" applyBorder="1" applyAlignment="1">
      <alignment horizontal="right" vertical="center"/>
    </xf>
    <xf numFmtId="164" fontId="42" fillId="0" borderId="48" xfId="0" applyNumberFormat="1" applyFont="1" applyFill="1" applyBorder="1" applyAlignment="1">
      <alignment horizontal="right" vertical="center"/>
    </xf>
    <xf numFmtId="164" fontId="42" fillId="0" borderId="38" xfId="0" applyNumberFormat="1" applyFont="1" applyFill="1" applyBorder="1" applyAlignment="1">
      <alignment horizontal="right" vertical="center"/>
    </xf>
    <xf numFmtId="164" fontId="42" fillId="0" borderId="34" xfId="0" applyNumberFormat="1" applyFont="1" applyFill="1" applyBorder="1" applyAlignment="1">
      <alignment horizontal="right" vertical="center"/>
    </xf>
    <xf numFmtId="164" fontId="42" fillId="0" borderId="40" xfId="0" applyNumberFormat="1" applyFont="1" applyFill="1" applyBorder="1" applyAlignment="1">
      <alignment horizontal="right" vertical="center"/>
    </xf>
    <xf numFmtId="164" fontId="42" fillId="0" borderId="43" xfId="0" applyNumberFormat="1" applyFont="1" applyFill="1" applyBorder="1" applyAlignment="1">
      <alignment horizontal="right" vertical="center"/>
    </xf>
    <xf numFmtId="164" fontId="5" fillId="7" borderId="35" xfId="0" applyNumberFormat="1" applyFont="1" applyFill="1" applyBorder="1" applyAlignment="1">
      <alignment horizontal="right" vertical="center"/>
    </xf>
    <xf numFmtId="0" fontId="4" fillId="0" borderId="30" xfId="0" applyFont="1" applyBorder="1" applyAlignment="1">
      <alignment horizontal="right" wrapText="1"/>
    </xf>
    <xf numFmtId="164" fontId="5" fillId="0" borderId="37" xfId="1" applyNumberFormat="1" applyFont="1" applyFill="1" applyBorder="1" applyAlignment="1">
      <alignment horizontal="right" vertical="center"/>
    </xf>
    <xf numFmtId="164" fontId="5" fillId="0" borderId="33" xfId="1" applyNumberFormat="1" applyFont="1" applyFill="1" applyBorder="1" applyAlignment="1">
      <alignment horizontal="right" vertical="center"/>
    </xf>
    <xf numFmtId="164" fontId="5" fillId="0" borderId="36" xfId="1" applyNumberFormat="1" applyFont="1" applyFill="1" applyBorder="1" applyAlignment="1">
      <alignment horizontal="right" vertical="center"/>
    </xf>
    <xf numFmtId="164" fontId="5" fillId="0" borderId="42" xfId="1" applyNumberFormat="1" applyFont="1" applyFill="1" applyBorder="1" applyAlignment="1">
      <alignment horizontal="right" vertical="center"/>
    </xf>
    <xf numFmtId="164" fontId="5" fillId="0" borderId="33" xfId="1" applyNumberFormat="1" applyFont="1" applyBorder="1" applyAlignment="1">
      <alignment horizontal="right" vertical="center"/>
    </xf>
    <xf numFmtId="164" fontId="5" fillId="0" borderId="47" xfId="1" applyNumberFormat="1" applyFont="1" applyBorder="1" applyAlignment="1">
      <alignment horizontal="right" vertical="center"/>
    </xf>
    <xf numFmtId="164" fontId="5" fillId="0" borderId="8" xfId="1" applyNumberFormat="1" applyFont="1" applyFill="1" applyBorder="1" applyAlignment="1">
      <alignment horizontal="right" vertical="center"/>
    </xf>
    <xf numFmtId="164" fontId="5" fillId="0" borderId="36" xfId="1" applyNumberFormat="1" applyFont="1" applyBorder="1" applyAlignment="1">
      <alignment horizontal="right" vertical="center"/>
    </xf>
    <xf numFmtId="164" fontId="5" fillId="0" borderId="42" xfId="1" applyNumberFormat="1" applyFont="1" applyBorder="1" applyAlignment="1">
      <alignment horizontal="right" vertical="center"/>
    </xf>
    <xf numFmtId="164" fontId="5" fillId="0" borderId="47" xfId="1" applyNumberFormat="1" applyFont="1" applyFill="1" applyBorder="1" applyAlignment="1">
      <alignment horizontal="right" vertical="center"/>
    </xf>
    <xf numFmtId="164" fontId="3" fillId="0" borderId="52" xfId="0" applyNumberFormat="1" applyFont="1" applyBorder="1" applyAlignment="1">
      <alignment horizontal="right" vertical="center"/>
    </xf>
    <xf numFmtId="164" fontId="5" fillId="3" borderId="60" xfId="0" applyNumberFormat="1" applyFont="1" applyFill="1" applyBorder="1" applyAlignment="1">
      <alignment horizontal="right" vertical="center"/>
    </xf>
    <xf numFmtId="0" fontId="1" fillId="0" borderId="0" xfId="4"/>
    <xf numFmtId="0" fontId="1" fillId="0" borderId="0" xfId="4" applyAlignment="1" applyProtection="1">
      <alignment horizontal="right"/>
      <protection locked="0"/>
    </xf>
    <xf numFmtId="0" fontId="1" fillId="0" borderId="0" xfId="4" applyFill="1"/>
    <xf numFmtId="167" fontId="25" fillId="0" borderId="26" xfId="4" applyNumberFormat="1" applyFont="1" applyBorder="1" applyAlignment="1" applyProtection="1">
      <alignment vertical="center"/>
      <protection locked="0"/>
    </xf>
    <xf numFmtId="0" fontId="1" fillId="0" borderId="0" xfId="4" applyAlignment="1">
      <alignment vertical="center"/>
    </xf>
    <xf numFmtId="167" fontId="24" fillId="0" borderId="68" xfId="4" applyNumberFormat="1" applyFont="1" applyBorder="1" applyAlignment="1" applyProtection="1">
      <alignment vertical="center" wrapText="1"/>
      <protection locked="0"/>
    </xf>
    <xf numFmtId="167" fontId="23" fillId="0" borderId="63" xfId="4" applyNumberFormat="1" applyFont="1" applyBorder="1" applyAlignment="1" applyProtection="1">
      <alignment vertical="center"/>
    </xf>
    <xf numFmtId="0" fontId="45" fillId="0" borderId="0" xfId="4" applyFont="1" applyAlignment="1">
      <alignment vertical="center"/>
    </xf>
    <xf numFmtId="167" fontId="23" fillId="0" borderId="63" xfId="4" quotePrefix="1" applyNumberFormat="1" applyFont="1" applyBorder="1" applyAlignment="1" applyProtection="1">
      <alignment vertical="center"/>
    </xf>
    <xf numFmtId="0" fontId="1" fillId="0" borderId="0" xfId="4" applyFont="1" applyAlignment="1">
      <alignment vertical="center"/>
    </xf>
    <xf numFmtId="167" fontId="24" fillId="0" borderId="63" xfId="4" quotePrefix="1" applyNumberFormat="1" applyFont="1" applyBorder="1" applyAlignment="1" applyProtection="1">
      <alignment vertical="center"/>
    </xf>
    <xf numFmtId="167" fontId="23" fillId="0" borderId="65" xfId="4" quotePrefix="1" applyNumberFormat="1" applyFont="1" applyBorder="1" applyAlignment="1" applyProtection="1">
      <alignment vertical="center"/>
    </xf>
    <xf numFmtId="0" fontId="1" fillId="0" borderId="0" xfId="4" applyProtection="1">
      <protection locked="0"/>
    </xf>
    <xf numFmtId="0" fontId="4" fillId="0" borderId="23" xfId="0" applyFont="1" applyFill="1" applyBorder="1" applyAlignment="1">
      <alignment horizontal="right" vertical="center"/>
    </xf>
    <xf numFmtId="164" fontId="3" fillId="0" borderId="24" xfId="0" applyNumberFormat="1" applyFont="1" applyFill="1" applyBorder="1" applyAlignment="1">
      <alignment horizontal="right" vertical="center"/>
    </xf>
    <xf numFmtId="164" fontId="3" fillId="0" borderId="25" xfId="0" applyNumberFormat="1" applyFont="1" applyFill="1" applyBorder="1" applyAlignment="1">
      <alignment horizontal="right" vertical="center"/>
    </xf>
    <xf numFmtId="0" fontId="4" fillId="0" borderId="61" xfId="0" applyFont="1" applyFill="1" applyBorder="1" applyAlignment="1">
      <alignment horizontal="right" vertical="center"/>
    </xf>
    <xf numFmtId="0" fontId="6" fillId="3" borderId="23" xfId="0" applyFont="1" applyFill="1" applyBorder="1" applyAlignment="1">
      <alignment horizontal="right" vertical="center"/>
    </xf>
    <xf numFmtId="0" fontId="5" fillId="0" borderId="0" xfId="1" applyFont="1" applyAlignment="1"/>
    <xf numFmtId="0" fontId="6" fillId="0" borderId="32" xfId="0" applyFont="1" applyFill="1" applyBorder="1" applyAlignment="1">
      <alignment horizontal="right" vertical="center"/>
    </xf>
    <xf numFmtId="0" fontId="4" fillId="0" borderId="7" xfId="0" applyFont="1" applyFill="1" applyBorder="1" applyAlignment="1">
      <alignment horizontal="left" vertical="center" indent="1"/>
    </xf>
    <xf numFmtId="164" fontId="3" fillId="0" borderId="46" xfId="0" applyNumberFormat="1" applyFont="1" applyFill="1" applyBorder="1" applyAlignment="1">
      <alignment horizontal="right" vertical="center"/>
    </xf>
    <xf numFmtId="164" fontId="3" fillId="0" borderId="17" xfId="0" applyNumberFormat="1" applyFont="1" applyFill="1" applyBorder="1" applyAlignment="1">
      <alignment horizontal="right" vertical="center"/>
    </xf>
    <xf numFmtId="166" fontId="3" fillId="0" borderId="17" xfId="2" applyNumberFormat="1" applyFont="1" applyFill="1" applyBorder="1" applyAlignment="1">
      <alignment horizontal="right" vertical="center"/>
    </xf>
    <xf numFmtId="0" fontId="4" fillId="0" borderId="55" xfId="0" applyFont="1" applyFill="1" applyBorder="1" applyAlignment="1">
      <alignment horizontal="left" vertical="center" indent="1"/>
    </xf>
    <xf numFmtId="164" fontId="5" fillId="0" borderId="7" xfId="0" applyNumberFormat="1" applyFont="1" applyFill="1" applyBorder="1" applyAlignment="1">
      <alignment horizontal="right"/>
    </xf>
    <xf numFmtId="3" fontId="5" fillId="0" borderId="8" xfId="0" applyNumberFormat="1" applyFont="1" applyBorder="1" applyAlignment="1">
      <alignment horizontal="right"/>
    </xf>
    <xf numFmtId="3" fontId="5" fillId="3" borderId="9" xfId="0" applyNumberFormat="1" applyFont="1" applyFill="1" applyBorder="1" applyAlignment="1">
      <alignment horizontal="right"/>
    </xf>
    <xf numFmtId="164" fontId="3" fillId="3" borderId="60" xfId="0" applyNumberFormat="1" applyFont="1" applyFill="1" applyBorder="1" applyAlignment="1">
      <alignment horizontal="right"/>
    </xf>
    <xf numFmtId="0" fontId="6" fillId="0" borderId="5" xfId="0" applyFont="1" applyFill="1" applyBorder="1" applyAlignment="1">
      <alignment horizontal="right"/>
    </xf>
    <xf numFmtId="10" fontId="25" fillId="0" borderId="19" xfId="2" applyNumberFormat="1" applyFont="1" applyFill="1" applyBorder="1" applyAlignment="1">
      <alignment vertical="center"/>
    </xf>
    <xf numFmtId="164" fontId="21" fillId="0" borderId="9" xfId="3" applyNumberFormat="1" applyFill="1" applyBorder="1" applyAlignment="1">
      <alignment horizontal="left" vertical="center" wrapText="1"/>
    </xf>
    <xf numFmtId="0" fontId="0" fillId="3" borderId="12" xfId="0" applyFill="1" applyBorder="1"/>
    <xf numFmtId="0" fontId="1" fillId="0" borderId="0" xfId="4" applyFill="1" applyBorder="1" applyAlignment="1">
      <alignment horizontal="right"/>
    </xf>
    <xf numFmtId="164" fontId="1" fillId="0" borderId="0" xfId="4" applyNumberFormat="1" applyFill="1"/>
    <xf numFmtId="164" fontId="42" fillId="0" borderId="40" xfId="0" applyNumberFormat="1" applyFont="1" applyFill="1" applyBorder="1" applyAlignment="1">
      <alignment horizontal="right" vertical="center"/>
    </xf>
    <xf numFmtId="166" fontId="3" fillId="0" borderId="45" xfId="0" applyNumberFormat="1" applyFont="1" applyFill="1" applyBorder="1" applyAlignment="1">
      <alignment horizontal="right" vertical="center"/>
    </xf>
    <xf numFmtId="164" fontId="5" fillId="0" borderId="56" xfId="0" applyNumberFormat="1" applyFont="1" applyFill="1" applyBorder="1" applyAlignment="1">
      <alignment horizontal="right" vertical="center"/>
    </xf>
    <xf numFmtId="166" fontId="3" fillId="0" borderId="39" xfId="0" applyNumberFormat="1" applyFont="1" applyFill="1" applyBorder="1" applyAlignment="1">
      <alignment horizontal="right" vertical="center"/>
    </xf>
    <xf numFmtId="166" fontId="3" fillId="3" borderId="50" xfId="0" applyNumberFormat="1" applyFont="1" applyFill="1" applyBorder="1" applyAlignment="1">
      <alignment horizontal="right" vertical="center"/>
    </xf>
    <xf numFmtId="164" fontId="5" fillId="3" borderId="47" xfId="1" applyNumberFormat="1" applyFont="1" applyFill="1" applyBorder="1" applyAlignment="1">
      <alignment horizontal="right" vertical="center"/>
    </xf>
    <xf numFmtId="164" fontId="3" fillId="0" borderId="62" xfId="0" applyNumberFormat="1" applyFont="1" applyFill="1" applyBorder="1" applyAlignment="1">
      <alignment horizontal="right" vertical="center"/>
    </xf>
    <xf numFmtId="164" fontId="5" fillId="0" borderId="31" xfId="0" applyNumberFormat="1" applyFont="1" applyFill="1" applyBorder="1" applyAlignment="1">
      <alignment horizontal="right" vertical="center"/>
    </xf>
    <xf numFmtId="164" fontId="5" fillId="3" borderId="24" xfId="0" applyNumberFormat="1" applyFont="1" applyFill="1" applyBorder="1" applyAlignment="1">
      <alignment horizontal="right" vertical="center"/>
    </xf>
    <xf numFmtId="164" fontId="5" fillId="3" borderId="25" xfId="0" applyNumberFormat="1" applyFont="1" applyFill="1" applyBorder="1" applyAlignment="1">
      <alignment horizontal="right" vertical="center"/>
    </xf>
    <xf numFmtId="164" fontId="3" fillId="0" borderId="56" xfId="0" applyNumberFormat="1" applyFont="1" applyFill="1" applyBorder="1" applyAlignment="1">
      <alignment horizontal="right" vertical="center"/>
    </xf>
    <xf numFmtId="164" fontId="3" fillId="0" borderId="9" xfId="0" applyNumberFormat="1" applyFont="1" applyFill="1" applyBorder="1" applyAlignment="1">
      <alignment horizontal="right" vertical="center"/>
    </xf>
    <xf numFmtId="164" fontId="3" fillId="3" borderId="60" xfId="0" applyNumberFormat="1" applyFont="1" applyFill="1" applyBorder="1" applyAlignment="1">
      <alignment horizontal="right" vertical="center"/>
    </xf>
    <xf numFmtId="164" fontId="3" fillId="0" borderId="59" xfId="0" applyNumberFormat="1" applyFont="1" applyFill="1" applyBorder="1" applyAlignment="1">
      <alignment horizontal="right"/>
    </xf>
    <xf numFmtId="164" fontId="3" fillId="0" borderId="47" xfId="0" applyNumberFormat="1" applyFont="1" applyFill="1" applyBorder="1" applyAlignment="1">
      <alignment horizontal="right"/>
    </xf>
    <xf numFmtId="165" fontId="5" fillId="0" borderId="55" xfId="0" applyNumberFormat="1" applyFont="1" applyFill="1" applyBorder="1" applyAlignment="1">
      <alignment horizontal="right"/>
    </xf>
    <xf numFmtId="165" fontId="5" fillId="0" borderId="45" xfId="0" applyNumberFormat="1" applyFont="1" applyFill="1" applyBorder="1" applyAlignment="1">
      <alignment horizontal="right"/>
    </xf>
    <xf numFmtId="164" fontId="5" fillId="0" borderId="42" xfId="0" applyNumberFormat="1" applyFont="1" applyFill="1" applyBorder="1" applyAlignment="1">
      <alignment horizontal="right"/>
    </xf>
    <xf numFmtId="165" fontId="5" fillId="0" borderId="7" xfId="0" applyNumberFormat="1" applyFont="1" applyFill="1" applyBorder="1" applyAlignment="1">
      <alignment horizontal="right"/>
    </xf>
    <xf numFmtId="165" fontId="5" fillId="0" borderId="17" xfId="0" applyNumberFormat="1" applyFont="1" applyFill="1" applyBorder="1" applyAlignment="1">
      <alignment horizontal="right"/>
    </xf>
    <xf numFmtId="164" fontId="5" fillId="0" borderId="55" xfId="0" applyNumberFormat="1" applyFont="1" applyFill="1" applyBorder="1" applyAlignment="1">
      <alignment horizontal="right"/>
    </xf>
    <xf numFmtId="3" fontId="5" fillId="0" borderId="42" xfId="0" applyNumberFormat="1" applyFont="1" applyFill="1" applyBorder="1" applyAlignment="1">
      <alignment horizontal="right"/>
    </xf>
    <xf numFmtId="3" fontId="5" fillId="3" borderId="56" xfId="0" applyNumberFormat="1" applyFont="1" applyFill="1" applyBorder="1" applyAlignment="1">
      <alignment horizontal="right"/>
    </xf>
    <xf numFmtId="164" fontId="3" fillId="0" borderId="60" xfId="0" applyNumberFormat="1" applyFont="1" applyFill="1" applyBorder="1" applyAlignment="1">
      <alignment horizontal="right"/>
    </xf>
    <xf numFmtId="164" fontId="5" fillId="0" borderId="40" xfId="1" applyNumberFormat="1" applyFont="1" applyFill="1" applyBorder="1" applyAlignment="1">
      <alignment horizontal="right"/>
    </xf>
    <xf numFmtId="166" fontId="5" fillId="0" borderId="41" xfId="2" applyNumberFormat="1" applyFont="1" applyFill="1" applyBorder="1" applyAlignment="1">
      <alignment horizontal="right"/>
    </xf>
    <xf numFmtId="164" fontId="5" fillId="3" borderId="49" xfId="1" applyNumberFormat="1" applyFont="1" applyFill="1" applyBorder="1" applyAlignment="1">
      <alignment horizontal="right"/>
    </xf>
    <xf numFmtId="164" fontId="5" fillId="3" borderId="47" xfId="1" applyNumberFormat="1" applyFont="1" applyFill="1" applyBorder="1" applyAlignment="1">
      <alignment horizontal="left" wrapText="1"/>
    </xf>
    <xf numFmtId="164" fontId="5" fillId="3" borderId="60" xfId="1" applyNumberFormat="1" applyFont="1" applyFill="1" applyBorder="1" applyAlignment="1">
      <alignment horizontal="left" wrapText="1"/>
    </xf>
    <xf numFmtId="0" fontId="11" fillId="0" borderId="61" xfId="1" applyFont="1" applyFill="1" applyBorder="1" applyAlignment="1">
      <alignment horizontal="right" wrapText="1"/>
    </xf>
    <xf numFmtId="164" fontId="3" fillId="0" borderId="44" xfId="0" applyNumberFormat="1" applyFont="1" applyFill="1" applyBorder="1" applyAlignment="1">
      <alignment horizontal="right"/>
    </xf>
    <xf numFmtId="164" fontId="3" fillId="0" borderId="45" xfId="0" applyNumberFormat="1" applyFont="1" applyFill="1" applyBorder="1" applyAlignment="1">
      <alignment horizontal="right"/>
    </xf>
    <xf numFmtId="166" fontId="3" fillId="0" borderId="44" xfId="2" applyNumberFormat="1" applyFont="1" applyFill="1" applyBorder="1" applyAlignment="1">
      <alignment horizontal="right"/>
    </xf>
    <xf numFmtId="164" fontId="5" fillId="0" borderId="44" xfId="1" applyNumberFormat="1" applyFont="1" applyFill="1" applyBorder="1" applyAlignment="1">
      <alignment horizontal="left" wrapText="1"/>
    </xf>
    <xf numFmtId="0" fontId="11" fillId="0" borderId="63" xfId="1" applyFont="1" applyFill="1" applyBorder="1" applyAlignment="1">
      <alignment horizontal="right" wrapText="1"/>
    </xf>
    <xf numFmtId="164" fontId="3" fillId="0" borderId="19" xfId="0" applyNumberFormat="1" applyFont="1" applyFill="1" applyBorder="1" applyAlignment="1">
      <alignment horizontal="right"/>
    </xf>
    <xf numFmtId="164" fontId="5" fillId="0" borderId="35" xfId="0" applyNumberFormat="1" applyFont="1" applyFill="1" applyBorder="1" applyAlignment="1">
      <alignment horizontal="right"/>
    </xf>
    <xf numFmtId="166" fontId="5" fillId="0" borderId="19" xfId="2" applyNumberFormat="1" applyFont="1" applyFill="1" applyBorder="1" applyAlignment="1">
      <alignment horizontal="right"/>
    </xf>
    <xf numFmtId="164" fontId="5" fillId="0" borderId="19" xfId="1" applyNumberFormat="1" applyFont="1" applyFill="1" applyBorder="1" applyAlignment="1">
      <alignment horizontal="left" wrapText="1"/>
    </xf>
    <xf numFmtId="0" fontId="11" fillId="0" borderId="65" xfId="1" applyFont="1" applyFill="1" applyBorder="1" applyAlignment="1">
      <alignment horizontal="right" wrapText="1"/>
    </xf>
    <xf numFmtId="164" fontId="3" fillId="0" borderId="49" xfId="0" applyNumberFormat="1" applyFont="1" applyFill="1" applyBorder="1" applyAlignment="1">
      <alignment horizontal="right"/>
    </xf>
    <xf numFmtId="164" fontId="5" fillId="0" borderId="48" xfId="0" applyNumberFormat="1" applyFont="1" applyFill="1" applyBorder="1" applyAlignment="1">
      <alignment horizontal="right"/>
    </xf>
    <xf numFmtId="164" fontId="5" fillId="0" borderId="50" xfId="0" applyNumberFormat="1" applyFont="1" applyFill="1" applyBorder="1" applyAlignment="1">
      <alignment horizontal="right"/>
    </xf>
    <xf numFmtId="166" fontId="5" fillId="0" borderId="49" xfId="2" applyNumberFormat="1" applyFont="1" applyFill="1" applyBorder="1" applyAlignment="1">
      <alignment horizontal="right"/>
    </xf>
    <xf numFmtId="164" fontId="5" fillId="0" borderId="49" xfId="1" applyNumberFormat="1" applyFont="1" applyFill="1" applyBorder="1" applyAlignment="1">
      <alignment horizontal="left" wrapText="1"/>
    </xf>
    <xf numFmtId="0" fontId="11" fillId="0" borderId="0" xfId="1" applyFont="1" applyFill="1" applyBorder="1" applyAlignment="1">
      <alignment horizontal="right" wrapText="1"/>
    </xf>
    <xf numFmtId="166" fontId="5" fillId="0" borderId="0" xfId="2" applyNumberFormat="1" applyFont="1" applyFill="1" applyBorder="1" applyAlignment="1">
      <alignment horizontal="right"/>
    </xf>
    <xf numFmtId="164" fontId="5" fillId="0" borderId="0" xfId="1" applyNumberFormat="1" applyFont="1" applyFill="1" applyBorder="1" applyAlignment="1">
      <alignment horizontal="left" wrapText="1"/>
    </xf>
    <xf numFmtId="164" fontId="3" fillId="0" borderId="35" xfId="0" applyNumberFormat="1" applyFont="1" applyFill="1" applyBorder="1" applyAlignment="1">
      <alignment horizontal="right"/>
    </xf>
    <xf numFmtId="166" fontId="3" fillId="0" borderId="19" xfId="2" applyNumberFormat="1" applyFont="1" applyFill="1" applyBorder="1" applyAlignment="1">
      <alignment horizontal="right"/>
    </xf>
    <xf numFmtId="0" fontId="11" fillId="0" borderId="67" xfId="1" applyFont="1" applyFill="1" applyBorder="1" applyAlignment="1">
      <alignment horizontal="right" wrapText="1"/>
    </xf>
    <xf numFmtId="164" fontId="3" fillId="0" borderId="22" xfId="0" applyNumberFormat="1" applyFont="1" applyFill="1" applyBorder="1" applyAlignment="1">
      <alignment horizontal="right"/>
    </xf>
    <xf numFmtId="164" fontId="3" fillId="0" borderId="41" xfId="0" applyNumberFormat="1" applyFont="1" applyFill="1" applyBorder="1" applyAlignment="1">
      <alignment horizontal="right"/>
    </xf>
    <xf numFmtId="166" fontId="3" fillId="0" borderId="22" xfId="2" applyNumberFormat="1" applyFont="1" applyFill="1" applyBorder="1" applyAlignment="1">
      <alignment horizontal="right"/>
    </xf>
    <xf numFmtId="164" fontId="5" fillId="0" borderId="22" xfId="1" applyNumberFormat="1" applyFont="1" applyFill="1" applyBorder="1" applyAlignment="1">
      <alignment horizontal="left" wrapText="1"/>
    </xf>
    <xf numFmtId="164" fontId="3" fillId="0" borderId="50" xfId="0" applyNumberFormat="1" applyFont="1" applyFill="1" applyBorder="1" applyAlignment="1">
      <alignment horizontal="right"/>
    </xf>
    <xf numFmtId="166" fontId="3" fillId="0" borderId="49" xfId="2" applyNumberFormat="1" applyFont="1" applyFill="1" applyBorder="1" applyAlignment="1">
      <alignment horizontal="right"/>
    </xf>
    <xf numFmtId="164" fontId="5" fillId="0" borderId="43" xfId="0" applyNumberFormat="1" applyFont="1" applyFill="1" applyBorder="1" applyAlignment="1">
      <alignment horizontal="right"/>
    </xf>
    <xf numFmtId="164" fontId="5" fillId="0" borderId="45" xfId="0" applyNumberFormat="1" applyFont="1" applyFill="1" applyBorder="1" applyAlignment="1">
      <alignment horizontal="right"/>
    </xf>
    <xf numFmtId="166" fontId="5" fillId="0" borderId="45" xfId="2" applyNumberFormat="1" applyFont="1" applyFill="1" applyBorder="1" applyAlignment="1">
      <alignment horizontal="right"/>
    </xf>
    <xf numFmtId="164" fontId="5" fillId="0" borderId="62" xfId="0" applyNumberFormat="1" applyFont="1" applyFill="1" applyBorder="1" applyAlignment="1">
      <alignment horizontal="left" wrapText="1"/>
    </xf>
    <xf numFmtId="0" fontId="5" fillId="0" borderId="0" xfId="1" applyFont="1" applyFill="1" applyBorder="1" applyAlignment="1">
      <alignment horizontal="center"/>
    </xf>
    <xf numFmtId="164" fontId="5" fillId="0" borderId="64" xfId="0" applyNumberFormat="1" applyFont="1" applyFill="1" applyBorder="1" applyAlignment="1">
      <alignment horizontal="left" wrapText="1"/>
    </xf>
    <xf numFmtId="164" fontId="5" fillId="0" borderId="66" xfId="0" applyNumberFormat="1" applyFont="1" applyFill="1" applyBorder="1" applyAlignment="1">
      <alignment horizontal="left" wrapText="1"/>
    </xf>
    <xf numFmtId="0" fontId="20" fillId="0" borderId="0" xfId="1" applyFont="1" applyFill="1" applyBorder="1" applyAlignment="1">
      <alignment horizontal="right" wrapText="1"/>
    </xf>
    <xf numFmtId="164" fontId="19" fillId="0" borderId="0" xfId="0" applyNumberFormat="1" applyFont="1" applyFill="1" applyBorder="1" applyAlignment="1">
      <alignment horizontal="right"/>
    </xf>
    <xf numFmtId="166" fontId="19" fillId="0" borderId="0" xfId="2" applyNumberFormat="1" applyFont="1" applyFill="1" applyBorder="1" applyAlignment="1">
      <alignment horizontal="right"/>
    </xf>
    <xf numFmtId="164" fontId="19" fillId="0" borderId="0" xfId="1" applyNumberFormat="1" applyFont="1" applyFill="1" applyBorder="1" applyAlignment="1">
      <alignment horizontal="left" wrapText="1"/>
    </xf>
    <xf numFmtId="166" fontId="5" fillId="0" borderId="44" xfId="2" applyNumberFormat="1" applyFont="1" applyFill="1" applyBorder="1" applyAlignment="1">
      <alignment horizontal="right"/>
    </xf>
    <xf numFmtId="164" fontId="5" fillId="0" borderId="56" xfId="0" applyNumberFormat="1" applyFont="1" applyFill="1" applyBorder="1" applyAlignment="1">
      <alignment horizontal="right"/>
    </xf>
    <xf numFmtId="164" fontId="5" fillId="0" borderId="58" xfId="0" applyNumberFormat="1" applyFont="1" applyFill="1" applyBorder="1" applyAlignment="1">
      <alignment horizontal="right"/>
    </xf>
    <xf numFmtId="164" fontId="5" fillId="0" borderId="70" xfId="0" applyNumberFormat="1" applyFont="1" applyFill="1" applyBorder="1" applyAlignment="1">
      <alignment horizontal="right"/>
    </xf>
    <xf numFmtId="164" fontId="5" fillId="0" borderId="24" xfId="0" applyNumberFormat="1" applyFont="1" applyFill="1" applyBorder="1" applyAlignment="1">
      <alignment horizontal="right"/>
    </xf>
    <xf numFmtId="164" fontId="5" fillId="0" borderId="78" xfId="0" applyNumberFormat="1" applyFont="1" applyFill="1" applyBorder="1" applyAlignment="1">
      <alignment horizontal="right"/>
    </xf>
    <xf numFmtId="164" fontId="5" fillId="0" borderId="18" xfId="0" applyNumberFormat="1" applyFont="1" applyFill="1" applyBorder="1" applyAlignment="1">
      <alignment horizontal="right"/>
    </xf>
    <xf numFmtId="166" fontId="5" fillId="0" borderId="18" xfId="2" applyNumberFormat="1" applyFont="1" applyFill="1" applyBorder="1" applyAlignment="1">
      <alignment horizontal="right"/>
    </xf>
    <xf numFmtId="164" fontId="5" fillId="0" borderId="60" xfId="0" applyNumberFormat="1" applyFont="1" applyFill="1" applyBorder="1" applyAlignment="1">
      <alignment horizontal="right"/>
    </xf>
    <xf numFmtId="164" fontId="42" fillId="3" borderId="48" xfId="0" applyNumberFormat="1" applyFont="1" applyFill="1" applyBorder="1" applyAlignment="1">
      <alignment horizontal="right" vertical="center"/>
    </xf>
    <xf numFmtId="164" fontId="23" fillId="0" borderId="19" xfId="4" applyNumberFormat="1" applyFont="1" applyFill="1" applyBorder="1" applyAlignment="1" applyProtection="1">
      <alignment horizontal="right" vertical="center"/>
      <protection locked="0"/>
    </xf>
    <xf numFmtId="164" fontId="25" fillId="0" borderId="19" xfId="4" applyNumberFormat="1" applyFont="1" applyFill="1" applyBorder="1" applyAlignment="1" applyProtection="1">
      <alignment horizontal="right" vertical="center"/>
      <protection locked="0"/>
    </xf>
    <xf numFmtId="164" fontId="24" fillId="0" borderId="19" xfId="4" applyNumberFormat="1" applyFont="1" applyFill="1" applyBorder="1" applyAlignment="1" applyProtection="1">
      <alignment horizontal="right" vertical="center"/>
      <protection locked="0"/>
    </xf>
    <xf numFmtId="164" fontId="23" fillId="0" borderId="49" xfId="4" applyNumberFormat="1" applyFont="1" applyFill="1" applyBorder="1" applyAlignment="1" applyProtection="1">
      <alignment horizontal="right" vertical="center"/>
      <protection locked="0"/>
    </xf>
    <xf numFmtId="164" fontId="25" fillId="3" borderId="64" xfId="4" applyNumberFormat="1" applyFont="1" applyFill="1" applyBorder="1" applyAlignment="1" applyProtection="1">
      <alignment horizontal="right" vertical="center"/>
      <protection locked="0"/>
    </xf>
    <xf numFmtId="164" fontId="24" fillId="3" borderId="64" xfId="4" applyNumberFormat="1" applyFont="1" applyFill="1" applyBorder="1" applyAlignment="1" applyProtection="1">
      <alignment horizontal="right" vertical="center"/>
      <protection locked="0"/>
    </xf>
    <xf numFmtId="164" fontId="23" fillId="3" borderId="64" xfId="4" applyNumberFormat="1" applyFont="1" applyFill="1" applyBorder="1" applyAlignment="1" applyProtection="1">
      <alignment horizontal="right" vertical="center"/>
      <protection locked="0"/>
    </xf>
    <xf numFmtId="164" fontId="23" fillId="3" borderId="66" xfId="4" applyNumberFormat="1" applyFont="1" applyFill="1" applyBorder="1" applyAlignment="1" applyProtection="1">
      <alignment horizontal="right" vertical="center"/>
      <protection locked="0"/>
    </xf>
    <xf numFmtId="0" fontId="3" fillId="0" borderId="0" xfId="0" applyFont="1" applyAlignment="1"/>
    <xf numFmtId="0" fontId="0" fillId="0" borderId="0" xfId="0" applyAlignment="1"/>
    <xf numFmtId="0" fontId="3" fillId="0" borderId="0" xfId="0" applyFont="1" applyAlignment="1">
      <alignment horizontal="center"/>
    </xf>
    <xf numFmtId="0" fontId="0" fillId="0" borderId="0" xfId="0" applyAlignment="1">
      <alignment horizontal="center"/>
    </xf>
    <xf numFmtId="0" fontId="3" fillId="0" borderId="0" xfId="0" applyFont="1" applyFill="1" applyAlignment="1">
      <alignment wrapText="1"/>
    </xf>
    <xf numFmtId="0" fontId="0" fillId="0" borderId="0" xfId="0" applyAlignment="1">
      <alignment wrapText="1"/>
    </xf>
    <xf numFmtId="0" fontId="5" fillId="0" borderId="0" xfId="1" applyFont="1" applyFill="1" applyAlignment="1">
      <alignment wrapText="1"/>
    </xf>
    <xf numFmtId="0" fontId="3" fillId="0" borderId="0" xfId="0" applyFont="1" applyAlignment="1">
      <alignment wrapText="1"/>
    </xf>
    <xf numFmtId="0" fontId="17" fillId="0" borderId="0" xfId="0" applyFont="1" applyAlignment="1"/>
    <xf numFmtId="0" fontId="3" fillId="0" borderId="0" xfId="0" applyFont="1" applyFill="1" applyAlignment="1"/>
    <xf numFmtId="0" fontId="17" fillId="0" borderId="0" xfId="0" applyFont="1" applyAlignment="1">
      <alignment wrapText="1"/>
    </xf>
    <xf numFmtId="0" fontId="4" fillId="0" borderId="20" xfId="0" applyFont="1" applyBorder="1" applyAlignment="1">
      <alignment horizontal="center" wrapText="1"/>
    </xf>
    <xf numFmtId="0" fontId="0" fillId="0" borderId="27" xfId="0" applyBorder="1" applyAlignment="1">
      <alignment horizontal="center" wrapText="1"/>
    </xf>
    <xf numFmtId="0" fontId="0" fillId="0" borderId="20" xfId="0" applyBorder="1" applyAlignment="1">
      <alignment horizontal="center" wrapText="1"/>
    </xf>
    <xf numFmtId="0" fontId="3"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17" fillId="0" borderId="0" xfId="0" applyFont="1" applyAlignment="1">
      <alignment vertical="top" wrapText="1"/>
    </xf>
    <xf numFmtId="0" fontId="0" fillId="0" borderId="0" xfId="0" applyBorder="1" applyAlignment="1">
      <alignment wrapText="1"/>
    </xf>
    <xf numFmtId="0" fontId="4" fillId="0" borderId="43" xfId="0" applyFont="1" applyBorder="1" applyAlignment="1">
      <alignment horizontal="center"/>
    </xf>
    <xf numFmtId="0" fontId="15" fillId="0" borderId="44" xfId="0" applyFont="1" applyBorder="1" applyAlignment="1">
      <alignment horizontal="center"/>
    </xf>
    <xf numFmtId="0" fontId="15" fillId="0" borderId="45" xfId="0" applyFont="1" applyBorder="1" applyAlignment="1">
      <alignment horizontal="center"/>
    </xf>
    <xf numFmtId="0" fontId="0" fillId="0" borderId="45" xfId="0" applyBorder="1" applyAlignment="1">
      <alignment horizontal="center"/>
    </xf>
    <xf numFmtId="0" fontId="4" fillId="0" borderId="30" xfId="0" applyFont="1" applyBorder="1" applyAlignment="1">
      <alignment horizontal="right" wrapText="1"/>
    </xf>
    <xf numFmtId="0" fontId="0" fillId="0" borderId="9" xfId="0" applyBorder="1" applyAlignment="1">
      <alignment horizontal="right" wrapText="1"/>
    </xf>
    <xf numFmtId="0" fontId="3" fillId="0" borderId="0" xfId="0" applyFont="1" applyAlignment="1">
      <alignment vertical="top"/>
    </xf>
    <xf numFmtId="0" fontId="0" fillId="0" borderId="0" xfId="0" applyAlignment="1">
      <alignment vertical="top"/>
    </xf>
    <xf numFmtId="0" fontId="3"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4" fillId="0" borderId="26" xfId="0" applyFont="1" applyBorder="1" applyAlignment="1">
      <alignment horizontal="left" vertical="center"/>
    </xf>
    <xf numFmtId="0" fontId="4" fillId="0" borderId="20"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20" xfId="0" applyFont="1" applyBorder="1" applyAlignment="1">
      <alignment horizontal="left" vertical="center"/>
    </xf>
    <xf numFmtId="0" fontId="3" fillId="0" borderId="27" xfId="0" applyFont="1" applyBorder="1" applyAlignment="1">
      <alignment horizontal="left" vertical="center"/>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18" fillId="0" borderId="32" xfId="0" applyFont="1" applyBorder="1" applyAlignment="1">
      <alignment horizontal="left" vertical="top" wrapText="1"/>
    </xf>
    <xf numFmtId="0" fontId="18" fillId="0" borderId="0" xfId="0" applyFont="1" applyBorder="1" applyAlignment="1">
      <alignment horizontal="left" vertical="top" wrapText="1"/>
    </xf>
    <xf numFmtId="0" fontId="18" fillId="0" borderId="31"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0" xfId="0" applyBorder="1" applyAlignment="1">
      <alignment horizontal="left" vertical="center"/>
    </xf>
    <xf numFmtId="0" fontId="0" fillId="0" borderId="27" xfId="0" applyBorder="1" applyAlignment="1">
      <alignment horizontal="left" vertical="center"/>
    </xf>
    <xf numFmtId="0" fontId="4" fillId="0" borderId="1" xfId="0" quotePrefix="1" applyFont="1" applyBorder="1" applyAlignment="1">
      <alignment horizontal="center" vertical="center"/>
    </xf>
    <xf numFmtId="0" fontId="0" fillId="0" borderId="2" xfId="0" applyBorder="1" applyAlignment="1"/>
    <xf numFmtId="0" fontId="0" fillId="0" borderId="3" xfId="0" applyBorder="1" applyAlignment="1"/>
    <xf numFmtId="0" fontId="4" fillId="0" borderId="4" xfId="0" applyFont="1" applyBorder="1" applyAlignment="1">
      <alignment horizontal="center" vertical="center" textRotation="90" wrapText="1"/>
    </xf>
    <xf numFmtId="0" fontId="15" fillId="0" borderId="5" xfId="0" applyFont="1" applyBorder="1" applyAlignment="1">
      <alignment horizontal="center" vertical="center" textRotation="90" wrapText="1"/>
    </xf>
    <xf numFmtId="0" fontId="15" fillId="0" borderId="6" xfId="0" applyFont="1" applyBorder="1" applyAlignment="1">
      <alignment horizontal="center" vertical="center" textRotation="90" wrapText="1"/>
    </xf>
    <xf numFmtId="0" fontId="18" fillId="0" borderId="32" xfId="0" applyFont="1" applyBorder="1" applyAlignment="1">
      <alignment horizontal="left" wrapText="1"/>
    </xf>
    <xf numFmtId="0" fontId="3" fillId="0" borderId="0" xfId="0" applyFont="1" applyBorder="1" applyAlignment="1">
      <alignment horizontal="left" wrapText="1"/>
    </xf>
    <xf numFmtId="0" fontId="3" fillId="0" borderId="31" xfId="0" applyFont="1" applyBorder="1" applyAlignment="1">
      <alignment horizontal="left" wrapText="1"/>
    </xf>
    <xf numFmtId="0" fontId="18" fillId="0" borderId="32" xfId="0" quotePrefix="1" applyFont="1" applyBorder="1" applyAlignment="1">
      <alignment horizontal="left" vertical="top" wrapText="1"/>
    </xf>
    <xf numFmtId="0" fontId="26" fillId="0" borderId="0" xfId="1" applyFont="1" applyBorder="1" applyAlignment="1"/>
    <xf numFmtId="0" fontId="0" fillId="0" borderId="0" xfId="0" applyBorder="1" applyAlignment="1"/>
    <xf numFmtId="2" fontId="24" fillId="3" borderId="68" xfId="0" applyNumberFormat="1" applyFont="1" applyFill="1" applyBorder="1" applyAlignment="1">
      <alignment horizontal="center" wrapText="1"/>
    </xf>
    <xf numFmtId="2" fontId="24" fillId="3" borderId="21" xfId="0" applyNumberFormat="1" applyFont="1" applyFill="1" applyBorder="1" applyAlignment="1">
      <alignment horizontal="center" wrapText="1"/>
    </xf>
    <xf numFmtId="0" fontId="0" fillId="3" borderId="69" xfId="0" applyFill="1" applyBorder="1" applyAlignment="1">
      <alignment horizontal="center" wrapText="1"/>
    </xf>
    <xf numFmtId="10" fontId="25" fillId="3" borderId="63" xfId="2" applyNumberFormat="1" applyFont="1" applyFill="1" applyBorder="1" applyAlignment="1">
      <alignment horizontal="center" vertical="center"/>
    </xf>
    <xf numFmtId="10" fontId="25" fillId="3" borderId="19" xfId="2" applyNumberFormat="1" applyFont="1" applyFill="1" applyBorder="1" applyAlignment="1">
      <alignment horizontal="center" vertical="center"/>
    </xf>
    <xf numFmtId="0" fontId="0" fillId="3" borderId="64" xfId="0" applyFill="1" applyBorder="1" applyAlignment="1">
      <alignment horizontal="center" vertical="center"/>
    </xf>
    <xf numFmtId="167" fontId="26" fillId="0" borderId="26" xfId="0" applyNumberFormat="1" applyFont="1" applyBorder="1" applyAlignment="1" applyProtection="1">
      <alignment horizontal="left" vertical="center" wrapText="1" indent="1"/>
    </xf>
    <xf numFmtId="0" fontId="0" fillId="0" borderId="32" xfId="0" applyFont="1" applyBorder="1" applyAlignment="1">
      <alignment horizontal="left" vertical="center" wrapText="1" indent="1"/>
    </xf>
    <xf numFmtId="0" fontId="0" fillId="0" borderId="23" xfId="0" applyFont="1" applyBorder="1" applyAlignment="1">
      <alignment horizontal="left" vertical="center" wrapText="1" indent="1"/>
    </xf>
    <xf numFmtId="3" fontId="26" fillId="4" borderId="20" xfId="0" quotePrefix="1" applyNumberFormat="1" applyFont="1" applyFill="1" applyBorder="1" applyAlignment="1" applyProtection="1">
      <alignment horizontal="left" vertical="center" wrapText="1"/>
    </xf>
    <xf numFmtId="0" fontId="0" fillId="4" borderId="20" xfId="0" applyFont="1" applyFill="1" applyBorder="1" applyAlignment="1">
      <alignment horizontal="left" vertical="center" wrapText="1"/>
    </xf>
    <xf numFmtId="0" fontId="0" fillId="4" borderId="27" xfId="0" applyFont="1" applyFill="1" applyBorder="1" applyAlignment="1">
      <alignment horizontal="left" vertical="center" wrapText="1"/>
    </xf>
    <xf numFmtId="3" fontId="26" fillId="4" borderId="19" xfId="0" quotePrefix="1" applyNumberFormat="1" applyFont="1" applyFill="1" applyBorder="1" applyAlignment="1" applyProtection="1">
      <alignment horizontal="left" vertical="center" wrapText="1"/>
    </xf>
    <xf numFmtId="0" fontId="0" fillId="4" borderId="19" xfId="0" applyFont="1" applyFill="1" applyBorder="1" applyAlignment="1">
      <alignment horizontal="left" vertical="center" wrapText="1"/>
    </xf>
    <xf numFmtId="0" fontId="0" fillId="4" borderId="64" xfId="0" applyFont="1" applyFill="1" applyBorder="1" applyAlignment="1">
      <alignment horizontal="left" vertical="center" wrapText="1"/>
    </xf>
    <xf numFmtId="3" fontId="26" fillId="4" borderId="21" xfId="0" quotePrefix="1" applyNumberFormat="1" applyFont="1" applyFill="1" applyBorder="1" applyAlignment="1" applyProtection="1">
      <alignment horizontal="left" vertical="center" wrapText="1"/>
    </xf>
    <xf numFmtId="0" fontId="0" fillId="4" borderId="21" xfId="0" applyFont="1" applyFill="1" applyBorder="1" applyAlignment="1">
      <alignment horizontal="left" vertical="center" wrapText="1"/>
    </xf>
    <xf numFmtId="0" fontId="0" fillId="4" borderId="69" xfId="0" applyFont="1" applyFill="1" applyBorder="1" applyAlignment="1">
      <alignment horizontal="left" vertical="center" wrapText="1"/>
    </xf>
    <xf numFmtId="167" fontId="26" fillId="3" borderId="26" xfId="0" applyNumberFormat="1" applyFont="1" applyFill="1" applyBorder="1" applyAlignment="1" applyProtection="1">
      <alignment horizontal="left" vertical="center" wrapText="1" indent="1"/>
    </xf>
    <xf numFmtId="0" fontId="0" fillId="3" borderId="32" xfId="0" applyFont="1" applyFill="1" applyBorder="1" applyAlignment="1">
      <alignment horizontal="left" vertical="center" wrapText="1" indent="1"/>
    </xf>
    <xf numFmtId="0" fontId="0" fillId="3" borderId="23" xfId="0" applyFont="1" applyFill="1" applyBorder="1" applyAlignment="1">
      <alignment horizontal="left" vertical="center" wrapText="1" indent="1"/>
    </xf>
    <xf numFmtId="3" fontId="26" fillId="0" borderId="49" xfId="0" quotePrefix="1" applyNumberFormat="1" applyFont="1" applyBorder="1" applyAlignment="1" applyProtection="1">
      <alignment horizontal="left" vertical="center" wrapText="1"/>
    </xf>
    <xf numFmtId="0" fontId="0" fillId="0" borderId="49" xfId="0" applyBorder="1" applyAlignment="1">
      <alignment horizontal="left" vertical="center" wrapText="1"/>
    </xf>
    <xf numFmtId="0" fontId="0" fillId="0" borderId="66" xfId="0" applyBorder="1" applyAlignment="1">
      <alignment horizontal="left" vertical="center" wrapText="1"/>
    </xf>
    <xf numFmtId="3" fontId="26" fillId="5" borderId="44" xfId="0" quotePrefix="1" applyNumberFormat="1" applyFont="1" applyFill="1" applyBorder="1" applyAlignment="1" applyProtection="1">
      <alignment horizontal="left" vertical="center" wrapText="1"/>
    </xf>
    <xf numFmtId="0" fontId="0" fillId="5" borderId="44" xfId="0" applyFont="1" applyFill="1" applyBorder="1" applyAlignment="1">
      <alignment horizontal="left" vertical="center" wrapText="1"/>
    </xf>
    <xf numFmtId="0" fontId="0" fillId="5" borderId="62" xfId="0" applyFont="1" applyFill="1" applyBorder="1" applyAlignment="1">
      <alignment horizontal="left" vertical="center" wrapText="1"/>
    </xf>
    <xf numFmtId="3" fontId="26" fillId="5" borderId="19" xfId="0" quotePrefix="1" applyNumberFormat="1" applyFont="1" applyFill="1" applyBorder="1" applyAlignment="1" applyProtection="1">
      <alignment horizontal="left" vertical="center" wrapText="1"/>
    </xf>
    <xf numFmtId="0" fontId="0" fillId="5" borderId="19" xfId="0" applyFill="1" applyBorder="1" applyAlignment="1">
      <alignment horizontal="left" vertical="center" wrapText="1"/>
    </xf>
    <xf numFmtId="0" fontId="0" fillId="5" borderId="64" xfId="0" applyFill="1" applyBorder="1" applyAlignment="1">
      <alignment horizontal="left" vertical="center" wrapText="1"/>
    </xf>
    <xf numFmtId="3" fontId="26" fillId="4" borderId="49" xfId="0" quotePrefix="1" applyNumberFormat="1" applyFont="1" applyFill="1" applyBorder="1" applyAlignment="1" applyProtection="1">
      <alignment horizontal="left" vertical="center" wrapText="1"/>
    </xf>
    <xf numFmtId="0" fontId="0" fillId="4" borderId="49" xfId="0" applyFill="1" applyBorder="1" applyAlignment="1">
      <alignment horizontal="left" vertical="center" wrapText="1"/>
    </xf>
    <xf numFmtId="0" fontId="0" fillId="4" borderId="66" xfId="0" applyFill="1" applyBorder="1" applyAlignment="1">
      <alignment horizontal="left" vertical="center" wrapText="1"/>
    </xf>
    <xf numFmtId="3" fontId="26" fillId="4" borderId="44" xfId="0" quotePrefix="1" applyNumberFormat="1" applyFont="1" applyFill="1" applyBorder="1" applyAlignment="1" applyProtection="1">
      <alignment horizontal="left" vertical="center" wrapText="1"/>
    </xf>
    <xf numFmtId="0" fontId="0" fillId="4" borderId="44" xfId="0" applyFont="1" applyFill="1" applyBorder="1" applyAlignment="1">
      <alignment horizontal="left" vertical="center" wrapText="1"/>
    </xf>
    <xf numFmtId="0" fontId="0" fillId="4" borderId="62" xfId="0" applyFont="1" applyFill="1" applyBorder="1" applyAlignment="1">
      <alignment horizontal="left" vertical="center" wrapText="1"/>
    </xf>
    <xf numFmtId="3" fontId="26" fillId="4" borderId="64" xfId="0" quotePrefix="1" applyNumberFormat="1" applyFont="1" applyFill="1" applyBorder="1" applyAlignment="1" applyProtection="1">
      <alignment horizontal="left" vertical="center" wrapText="1"/>
    </xf>
    <xf numFmtId="0" fontId="0" fillId="4" borderId="19" xfId="0" applyFill="1" applyBorder="1" applyAlignment="1">
      <alignment horizontal="left" vertical="center" wrapText="1"/>
    </xf>
    <xf numFmtId="0" fontId="0" fillId="4" borderId="64" xfId="0" applyFill="1" applyBorder="1" applyAlignment="1">
      <alignment horizontal="left" vertical="center" wrapText="1"/>
    </xf>
    <xf numFmtId="3" fontId="26" fillId="5" borderId="49" xfId="0" quotePrefix="1" applyNumberFormat="1" applyFont="1" applyFill="1" applyBorder="1" applyAlignment="1" applyProtection="1">
      <alignment horizontal="left" vertical="center" wrapText="1"/>
    </xf>
    <xf numFmtId="0" fontId="0" fillId="5" borderId="49" xfId="0" applyFill="1" applyBorder="1" applyAlignment="1">
      <alignment horizontal="left" vertical="center" wrapText="1"/>
    </xf>
    <xf numFmtId="0" fontId="0" fillId="5" borderId="66" xfId="0" applyFill="1" applyBorder="1" applyAlignment="1">
      <alignment horizontal="left" vertical="center" wrapText="1"/>
    </xf>
    <xf numFmtId="3" fontId="25" fillId="0" borderId="2" xfId="0" quotePrefix="1" applyNumberFormat="1" applyFont="1" applyBorder="1" applyAlignment="1" applyProtection="1">
      <alignment horizontal="left" vertical="center" wrapText="1"/>
    </xf>
    <xf numFmtId="3" fontId="25" fillId="0" borderId="3" xfId="0" quotePrefix="1" applyNumberFormat="1" applyFont="1" applyBorder="1" applyAlignment="1" applyProtection="1">
      <alignment horizontal="left" vertical="center" wrapText="1"/>
    </xf>
    <xf numFmtId="2" fontId="24" fillId="0" borderId="68" xfId="0" applyNumberFormat="1" applyFont="1" applyBorder="1" applyAlignment="1">
      <alignment horizontal="center" vertical="center" wrapText="1"/>
    </xf>
    <xf numFmtId="0" fontId="0" fillId="0" borderId="21" xfId="0" applyFont="1" applyBorder="1" applyAlignment="1">
      <alignment horizontal="center" vertical="center" wrapText="1"/>
    </xf>
    <xf numFmtId="0" fontId="0" fillId="0" borderId="69" xfId="0" applyFont="1" applyBorder="1" applyAlignment="1">
      <alignment horizontal="center" vertical="center" wrapText="1"/>
    </xf>
    <xf numFmtId="164" fontId="4" fillId="0" borderId="53" xfId="0" applyNumberFormat="1" applyFont="1" applyBorder="1" applyAlignment="1">
      <alignment horizontal="center" wrapText="1"/>
    </xf>
    <xf numFmtId="0" fontId="0" fillId="0" borderId="20" xfId="0" applyBorder="1" applyAlignment="1">
      <alignment horizontal="center"/>
    </xf>
    <xf numFmtId="0" fontId="0" fillId="0" borderId="54" xfId="0" applyBorder="1" applyAlignment="1">
      <alignment horizontal="center"/>
    </xf>
    <xf numFmtId="164" fontId="4" fillId="0" borderId="20" xfId="0" applyNumberFormat="1" applyFont="1" applyBorder="1" applyAlignment="1">
      <alignment horizontal="center" wrapText="1"/>
    </xf>
    <xf numFmtId="0" fontId="11" fillId="0" borderId="0" xfId="1" applyFont="1" applyFill="1" applyBorder="1" applyAlignment="1">
      <alignment horizontal="left" wrapText="1"/>
    </xf>
    <xf numFmtId="0" fontId="0" fillId="0" borderId="0" xfId="0" applyFill="1" applyBorder="1" applyAlignment="1">
      <alignment horizontal="left" wrapText="1"/>
    </xf>
    <xf numFmtId="0" fontId="5" fillId="0" borderId="0" xfId="1" applyFont="1" applyAlignment="1"/>
    <xf numFmtId="0" fontId="4" fillId="0" borderId="53" xfId="0" applyFont="1" applyBorder="1" applyAlignment="1">
      <alignment horizontal="center"/>
    </xf>
    <xf numFmtId="0" fontId="15" fillId="0" borderId="20" xfId="0" applyFont="1" applyBorder="1" applyAlignment="1">
      <alignment horizontal="center"/>
    </xf>
    <xf numFmtId="0" fontId="15" fillId="0" borderId="54" xfId="0" applyFont="1" applyBorder="1" applyAlignment="1">
      <alignment horizontal="center"/>
    </xf>
    <xf numFmtId="0" fontId="7" fillId="0" borderId="0" xfId="0" applyFont="1" applyFill="1" applyBorder="1" applyAlignment="1">
      <alignment horizontal="left" wrapText="1"/>
    </xf>
    <xf numFmtId="164" fontId="42" fillId="0" borderId="40" xfId="0" applyNumberFormat="1" applyFont="1" applyFill="1" applyBorder="1" applyAlignment="1">
      <alignment horizontal="right" vertical="center"/>
    </xf>
    <xf numFmtId="0" fontId="44" fillId="0" borderId="38" xfId="0" applyFont="1" applyFill="1" applyBorder="1" applyAlignment="1">
      <alignment horizontal="right" vertical="center"/>
    </xf>
    <xf numFmtId="167" fontId="23" fillId="0" borderId="20" xfId="4" quotePrefix="1" applyNumberFormat="1" applyFont="1" applyFill="1" applyBorder="1" applyAlignment="1" applyProtection="1">
      <alignment horizontal="right" vertical="top" wrapText="1"/>
      <protection locked="0"/>
    </xf>
    <xf numFmtId="0" fontId="0" fillId="0" borderId="21" xfId="0" applyFill="1" applyBorder="1" applyAlignment="1">
      <alignment horizontal="right" vertical="top"/>
    </xf>
    <xf numFmtId="167" fontId="23" fillId="3" borderId="27" xfId="4" quotePrefix="1" applyNumberFormat="1" applyFont="1" applyFill="1" applyBorder="1" applyAlignment="1" applyProtection="1">
      <alignment horizontal="right" vertical="top" wrapText="1"/>
      <protection locked="0"/>
    </xf>
    <xf numFmtId="0" fontId="0" fillId="0" borderId="69" xfId="0" applyBorder="1" applyAlignment="1">
      <alignment horizontal="right" vertical="top"/>
    </xf>
    <xf numFmtId="0" fontId="2" fillId="0" borderId="0" xfId="4" applyFont="1" applyAlignment="1"/>
    <xf numFmtId="0" fontId="2" fillId="0" borderId="0" xfId="0" applyFont="1" applyAlignment="1"/>
    <xf numFmtId="0" fontId="24" fillId="0" borderId="0" xfId="4" applyFont="1" applyAlignment="1">
      <alignment wrapText="1"/>
    </xf>
    <xf numFmtId="0" fontId="24" fillId="0" borderId="0" xfId="0" applyFont="1" applyAlignment="1">
      <alignment wrapText="1"/>
    </xf>
    <xf numFmtId="167" fontId="23" fillId="0" borderId="20" xfId="4" quotePrefix="1" applyNumberFormat="1" applyFont="1" applyBorder="1" applyAlignment="1" applyProtection="1">
      <alignment horizontal="right" vertical="top" wrapText="1"/>
    </xf>
    <xf numFmtId="0" fontId="0" fillId="0" borderId="21" xfId="0" applyBorder="1" applyAlignment="1">
      <alignment horizontal="right" vertical="top"/>
    </xf>
  </cellXfs>
  <cellStyles count="5">
    <cellStyle name="Link" xfId="3" builtinId="8"/>
    <cellStyle name="Prozent" xfId="2" builtinId="5"/>
    <cellStyle name="Standard" xfId="0" builtinId="0"/>
    <cellStyle name="Standard 2" xfId="1"/>
    <cellStyle name="Standard 3" xfId="4"/>
  </cellStyles>
  <dxfs count="0"/>
  <tableStyles count="0" defaultTableStyle="TableStyleMedium9" defaultPivotStyle="PivotStyleLight16"/>
  <colors>
    <mruColors>
      <color rgb="FFAAD7FF"/>
      <color rgb="FFC6EFCE"/>
      <color rgb="FFE6B8B7"/>
      <color rgb="FFC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dget.gr.ch/DFG/Department_Docs/2021%20Rechnung%20Botschaft/Tabellen/06%20Bericht%20der%20Regierung/3.0%20Frei%20verf&#252;gbares%20E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gr.ch/DFG/Department_Docs/Archiv%202021%20Budget%20Botschaft/Tabellen/6%20Bericht%20der%20Regierung/6.2.2%20Personalaufw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z"/>
      <sheetName val="Parameter"/>
      <sheetName val="Funktion"/>
      <sheetName val="Archiv Grunddaten"/>
    </sheetNames>
    <sheetDataSet>
      <sheetData sheetId="0"/>
      <sheetData sheetId="1">
        <row r="2">
          <cell r="B2">
            <v>1</v>
          </cell>
        </row>
        <row r="3">
          <cell r="B3">
            <v>2021</v>
          </cell>
        </row>
      </sheetData>
      <sheetData sheetId="2">
        <row r="29">
          <cell r="B29" t="str">
            <v>20 Fremdkapital (FK)</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ucktabelle Personalaufwand"/>
      <sheetName val="Drucktabelle FP Richtwert Nr. 6"/>
      <sheetName val="Parameter"/>
      <sheetName val="Funktion"/>
      <sheetName val="manuelle Rechnung für Antragszi"/>
    </sheetNames>
    <sheetDataSet>
      <sheetData sheetId="0"/>
      <sheetData sheetId="1"/>
      <sheetData sheetId="2">
        <row r="3">
          <cell r="B3">
            <v>2021</v>
          </cell>
        </row>
      </sheetData>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intwww.gr.ch/DE/institutionen/verwaltung/dfg/ds/dokumentation/Rechnungen%20ab%202014/Jahresrechnung%202021.pdf" TargetMode="External"/><Relationship Id="rId1" Type="http://schemas.openxmlformats.org/officeDocument/2006/relationships/hyperlink" Target="https://intwww.gr.ch/DE/institutionen/verwaltung/dfg/ds/dokumentation/Budget%202015/Botschaft%20zum%20Budget%202022.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tabSelected="1" zoomScaleNormal="100" zoomScaleSheetLayoutView="145" workbookViewId="0">
      <pane ySplit="4" topLeftCell="A5" activePane="bottomLeft" state="frozen"/>
      <selection pane="bottomLeft"/>
    </sheetView>
  </sheetViews>
  <sheetFormatPr baseColWidth="10" defaultColWidth="11.42578125" defaultRowHeight="12.75" x14ac:dyDescent="0.2"/>
  <cols>
    <col min="1" max="1" width="7" style="2" customWidth="1"/>
    <col min="2" max="4" width="8.140625" style="2" customWidth="1"/>
    <col min="5" max="8" width="11.28515625" style="2" customWidth="1"/>
    <col min="9" max="9" width="12.5703125" style="2" customWidth="1"/>
    <col min="10" max="10" width="11.140625" style="2" customWidth="1"/>
    <col min="11" max="11" width="11.5703125" style="2" customWidth="1"/>
    <col min="12" max="12" width="9" style="2" customWidth="1"/>
    <col min="13" max="13" width="8.42578125" style="2" customWidth="1"/>
    <col min="14" max="14" width="10.140625" style="2" customWidth="1"/>
    <col min="15" max="15" width="11.140625" style="2" customWidth="1"/>
    <col min="16" max="16" width="11.5703125" style="2" customWidth="1"/>
    <col min="17" max="17" width="42.28515625" style="2" customWidth="1"/>
    <col min="18" max="16384" width="11.42578125" style="2"/>
  </cols>
  <sheetData>
    <row r="1" spans="1:18" ht="15.75" x14ac:dyDescent="0.25">
      <c r="A1" s="1" t="s">
        <v>5</v>
      </c>
    </row>
    <row r="2" spans="1:18" ht="12.75" customHeight="1" x14ac:dyDescent="0.2">
      <c r="A2" s="2" t="s">
        <v>310</v>
      </c>
    </row>
    <row r="3" spans="1:18" x14ac:dyDescent="0.2">
      <c r="N3" s="708" t="s">
        <v>0</v>
      </c>
      <c r="O3" s="709"/>
    </row>
    <row r="4" spans="1:18" ht="26.25" customHeight="1" x14ac:dyDescent="0.2">
      <c r="A4" s="225" t="s">
        <v>4</v>
      </c>
      <c r="B4" s="226" t="s">
        <v>79</v>
      </c>
      <c r="C4" s="227" t="s">
        <v>80</v>
      </c>
      <c r="D4" s="228" t="s">
        <v>98</v>
      </c>
      <c r="E4" s="226" t="s">
        <v>81</v>
      </c>
      <c r="F4" s="227" t="s">
        <v>82</v>
      </c>
      <c r="G4" s="227" t="s">
        <v>99</v>
      </c>
      <c r="H4" s="227" t="s">
        <v>100</v>
      </c>
      <c r="I4" s="228" t="s">
        <v>101</v>
      </c>
      <c r="J4" s="226" t="s">
        <v>102</v>
      </c>
      <c r="K4" s="228" t="s">
        <v>103</v>
      </c>
      <c r="L4" s="28" t="s">
        <v>305</v>
      </c>
      <c r="M4" s="226" t="s">
        <v>306</v>
      </c>
      <c r="N4" s="227" t="s">
        <v>307</v>
      </c>
      <c r="O4" s="228" t="s">
        <v>308</v>
      </c>
      <c r="P4" s="572" t="s">
        <v>309</v>
      </c>
    </row>
    <row r="5" spans="1:18" s="6" customFormat="1" ht="17.25" customHeight="1" x14ac:dyDescent="0.2">
      <c r="A5" s="229" t="s">
        <v>120</v>
      </c>
      <c r="B5" s="184">
        <v>1760.9</v>
      </c>
      <c r="C5" s="211">
        <v>1755.8</v>
      </c>
      <c r="D5" s="212">
        <f t="shared" ref="D5:D26" si="0">C5-B5</f>
        <v>-5.1000000000001364</v>
      </c>
      <c r="E5" s="184">
        <v>347.7</v>
      </c>
      <c r="F5" s="211">
        <v>164.5</v>
      </c>
      <c r="G5" s="211">
        <f>E5-F5</f>
        <v>183.2</v>
      </c>
      <c r="H5" s="156">
        <v>160.89999999999998</v>
      </c>
      <c r="I5" s="212">
        <f>J5-H5</f>
        <v>-40.999999999999972</v>
      </c>
      <c r="J5" s="184">
        <v>119.9</v>
      </c>
      <c r="K5" s="219">
        <v>0.745</v>
      </c>
      <c r="L5" s="573">
        <f>1650.28-248.461-61.934</f>
        <v>1339.885</v>
      </c>
      <c r="M5" s="184">
        <v>584.96141</v>
      </c>
      <c r="N5" s="211">
        <v>251.37727100000001</v>
      </c>
      <c r="O5" s="212">
        <v>-39.040731000000001</v>
      </c>
      <c r="P5" s="230">
        <v>131</v>
      </c>
      <c r="Q5" s="67"/>
      <c r="R5" s="67"/>
    </row>
    <row r="6" spans="1:18" s="6" customFormat="1" ht="17.25" customHeight="1" x14ac:dyDescent="0.2">
      <c r="A6" s="231" t="s">
        <v>121</v>
      </c>
      <c r="B6" s="68">
        <v>1930.4</v>
      </c>
      <c r="C6" s="4">
        <v>1921.5</v>
      </c>
      <c r="D6" s="69">
        <f t="shared" si="0"/>
        <v>-8.9000000000000909</v>
      </c>
      <c r="E6" s="68">
        <v>410.2</v>
      </c>
      <c r="F6" s="4">
        <v>222.5</v>
      </c>
      <c r="G6" s="4">
        <f t="shared" ref="G6:G26" si="1">E6-F6</f>
        <v>187.7</v>
      </c>
      <c r="H6" s="10">
        <v>167</v>
      </c>
      <c r="I6" s="69">
        <f t="shared" ref="I6:I12" si="2">J6-H6</f>
        <v>-34.800000000000011</v>
      </c>
      <c r="J6" s="68">
        <v>132.19999999999999</v>
      </c>
      <c r="K6" s="70">
        <v>0.79200000000000004</v>
      </c>
      <c r="L6" s="574">
        <f>1854.131-366.639-110.972</f>
        <v>1376.5200000000002</v>
      </c>
      <c r="M6" s="68">
        <v>749.71997499999998</v>
      </c>
      <c r="N6" s="4">
        <v>305.006957</v>
      </c>
      <c r="O6" s="69">
        <v>-6.0885449999999999</v>
      </c>
      <c r="P6" s="232">
        <v>113.2</v>
      </c>
      <c r="Q6" s="67"/>
      <c r="R6" s="67"/>
    </row>
    <row r="7" spans="1:18" s="6" customFormat="1" ht="17.25" customHeight="1" x14ac:dyDescent="0.2">
      <c r="A7" s="231" t="s">
        <v>122</v>
      </c>
      <c r="B7" s="68">
        <v>1881</v>
      </c>
      <c r="C7" s="4">
        <v>1865.3</v>
      </c>
      <c r="D7" s="69">
        <f t="shared" si="0"/>
        <v>-15.700000000000045</v>
      </c>
      <c r="E7" s="68">
        <v>360.74099999999999</v>
      </c>
      <c r="F7" s="4">
        <v>202.18700000000001</v>
      </c>
      <c r="G7" s="4">
        <f>E7-F7</f>
        <v>158.55399999999997</v>
      </c>
      <c r="H7" s="10">
        <v>166.9</v>
      </c>
      <c r="I7" s="69">
        <f t="shared" si="2"/>
        <v>-54.5</v>
      </c>
      <c r="J7" s="68">
        <v>112.4</v>
      </c>
      <c r="K7" s="70">
        <v>0.67400000000000004</v>
      </c>
      <c r="L7" s="574">
        <v>1379.8</v>
      </c>
      <c r="M7" s="68">
        <v>790.03623400000004</v>
      </c>
      <c r="N7" s="4">
        <v>559.88204499999995</v>
      </c>
      <c r="O7" s="69">
        <v>49.487036000000003</v>
      </c>
      <c r="P7" s="232">
        <v>97.5</v>
      </c>
      <c r="Q7" s="67"/>
      <c r="R7" s="67"/>
    </row>
    <row r="8" spans="1:18" s="6" customFormat="1" ht="17.25" customHeight="1" x14ac:dyDescent="0.2">
      <c r="A8" s="233" t="s">
        <v>123</v>
      </c>
      <c r="B8" s="214">
        <v>1892.4</v>
      </c>
      <c r="C8" s="215">
        <v>1879.5</v>
      </c>
      <c r="D8" s="216">
        <f t="shared" si="0"/>
        <v>-12.900000000000091</v>
      </c>
      <c r="E8" s="214">
        <v>359.6</v>
      </c>
      <c r="F8" s="215">
        <v>221.5</v>
      </c>
      <c r="G8" s="215">
        <f t="shared" si="1"/>
        <v>138.10000000000002</v>
      </c>
      <c r="H8" s="220">
        <v>150.5</v>
      </c>
      <c r="I8" s="216">
        <f t="shared" si="2"/>
        <v>-17.800000000000011</v>
      </c>
      <c r="J8" s="214">
        <v>132.69999999999999</v>
      </c>
      <c r="K8" s="221">
        <v>0.88200000000000001</v>
      </c>
      <c r="L8" s="575">
        <f>1348.8+6.6</f>
        <v>1355.3999999999999</v>
      </c>
      <c r="M8" s="214">
        <v>818.12139300000001</v>
      </c>
      <c r="N8" s="215">
        <v>565.61642800000004</v>
      </c>
      <c r="O8" s="216">
        <v>75.352024999999998</v>
      </c>
      <c r="P8" s="234">
        <v>84.6</v>
      </c>
      <c r="Q8" s="67"/>
      <c r="R8" s="67"/>
    </row>
    <row r="9" spans="1:18" s="6" customFormat="1" ht="17.25" customHeight="1" x14ac:dyDescent="0.2">
      <c r="A9" s="229" t="s">
        <v>124</v>
      </c>
      <c r="B9" s="184">
        <v>1995.4</v>
      </c>
      <c r="C9" s="211">
        <v>1988.2</v>
      </c>
      <c r="D9" s="212">
        <f t="shared" si="0"/>
        <v>-7.2000000000000455</v>
      </c>
      <c r="E9" s="184">
        <v>333.5</v>
      </c>
      <c r="F9" s="211">
        <v>208.9</v>
      </c>
      <c r="G9" s="211">
        <f t="shared" si="1"/>
        <v>124.6</v>
      </c>
      <c r="H9" s="156">
        <v>145.06200000000001</v>
      </c>
      <c r="I9" s="157">
        <f t="shared" si="2"/>
        <v>0.25699999999997658</v>
      </c>
      <c r="J9" s="184">
        <v>145.31899999999999</v>
      </c>
      <c r="K9" s="219">
        <v>1.002</v>
      </c>
      <c r="L9" s="576">
        <f>1411.6+7.6</f>
        <v>1419.1999999999998</v>
      </c>
      <c r="M9" s="184">
        <v>822.79860399999995</v>
      </c>
      <c r="N9" s="211">
        <v>545.52622499999995</v>
      </c>
      <c r="O9" s="212">
        <v>80.333203999999995</v>
      </c>
      <c r="P9" s="230">
        <v>77.3</v>
      </c>
      <c r="Q9" s="67"/>
      <c r="R9" s="67"/>
    </row>
    <row r="10" spans="1:18" s="6" customFormat="1" ht="17.25" customHeight="1" x14ac:dyDescent="0.2">
      <c r="A10" s="231" t="s">
        <v>125</v>
      </c>
      <c r="B10" s="68">
        <v>2064.4</v>
      </c>
      <c r="C10" s="4">
        <v>2043</v>
      </c>
      <c r="D10" s="69">
        <f t="shared" si="0"/>
        <v>-21.400000000000091</v>
      </c>
      <c r="E10" s="68">
        <v>387.2</v>
      </c>
      <c r="F10" s="4">
        <v>239.7</v>
      </c>
      <c r="G10" s="4">
        <f t="shared" si="1"/>
        <v>147.5</v>
      </c>
      <c r="H10" s="10">
        <v>153.80000000000001</v>
      </c>
      <c r="I10" s="69">
        <f t="shared" si="2"/>
        <v>-38.200000000000017</v>
      </c>
      <c r="J10" s="68">
        <v>115.6</v>
      </c>
      <c r="K10" s="70">
        <v>0.752</v>
      </c>
      <c r="L10" s="574">
        <f>1513.8+8.1</f>
        <v>1521.8999999999999</v>
      </c>
      <c r="M10" s="68">
        <v>896.29847400000006</v>
      </c>
      <c r="N10" s="4">
        <v>578.14542500000005</v>
      </c>
      <c r="O10" s="69">
        <v>116.77009099999999</v>
      </c>
      <c r="P10" s="232">
        <v>56</v>
      </c>
      <c r="Q10" s="67"/>
      <c r="R10" s="67"/>
    </row>
    <row r="11" spans="1:18" s="6" customFormat="1" ht="17.25" customHeight="1" x14ac:dyDescent="0.2">
      <c r="A11" s="231" t="s">
        <v>126</v>
      </c>
      <c r="B11" s="68">
        <v>2105.6</v>
      </c>
      <c r="C11" s="4">
        <v>2064.1</v>
      </c>
      <c r="D11" s="69">
        <f t="shared" si="0"/>
        <v>-41.5</v>
      </c>
      <c r="E11" s="68">
        <v>404.8</v>
      </c>
      <c r="F11" s="4">
        <v>249.3</v>
      </c>
      <c r="G11" s="4">
        <f t="shared" si="1"/>
        <v>155.5</v>
      </c>
      <c r="H11" s="10">
        <v>155.4</v>
      </c>
      <c r="I11" s="73">
        <f t="shared" si="2"/>
        <v>-72.948000000000008</v>
      </c>
      <c r="J11" s="68">
        <v>82.451999999999998</v>
      </c>
      <c r="K11" s="70">
        <v>0.53</v>
      </c>
      <c r="L11" s="574">
        <f>1532.805</f>
        <v>1532.8050000000001</v>
      </c>
      <c r="M11" s="68">
        <v>949.43263930000001</v>
      </c>
      <c r="N11" s="4">
        <v>647.92883900000004</v>
      </c>
      <c r="O11" s="69">
        <v>185.96333799999999</v>
      </c>
      <c r="P11" s="232">
        <v>14.5</v>
      </c>
      <c r="Q11" s="67"/>
      <c r="R11" s="67"/>
    </row>
    <row r="12" spans="1:18" s="6" customFormat="1" ht="17.25" customHeight="1" x14ac:dyDescent="0.2">
      <c r="A12" s="233" t="s">
        <v>127</v>
      </c>
      <c r="B12" s="214">
        <v>2118.5</v>
      </c>
      <c r="C12" s="215">
        <v>2138.8000000000002</v>
      </c>
      <c r="D12" s="216">
        <f t="shared" si="0"/>
        <v>20.300000000000182</v>
      </c>
      <c r="E12" s="214">
        <v>404.18799999999999</v>
      </c>
      <c r="F12" s="215">
        <v>256.149</v>
      </c>
      <c r="G12" s="215">
        <f t="shared" si="1"/>
        <v>148.03899999999999</v>
      </c>
      <c r="H12" s="220">
        <v>148</v>
      </c>
      <c r="I12" s="216">
        <f t="shared" si="2"/>
        <v>27.435000000000002</v>
      </c>
      <c r="J12" s="214">
        <v>175.435</v>
      </c>
      <c r="K12" s="221">
        <v>1.1850000000000001</v>
      </c>
      <c r="L12" s="575">
        <f>1519.9+0.1</f>
        <v>1520</v>
      </c>
      <c r="M12" s="214">
        <v>913.948983</v>
      </c>
      <c r="N12" s="215">
        <v>620.86309700000004</v>
      </c>
      <c r="O12" s="216">
        <v>159.380144</v>
      </c>
      <c r="P12" s="234">
        <v>34.799999999999997</v>
      </c>
      <c r="Q12" s="67"/>
      <c r="R12" s="67"/>
    </row>
    <row r="13" spans="1:18" s="6" customFormat="1" ht="17.25" customHeight="1" x14ac:dyDescent="0.2">
      <c r="A13" s="229" t="s">
        <v>128</v>
      </c>
      <c r="B13" s="184">
        <v>2758.1</v>
      </c>
      <c r="C13" s="211">
        <v>2838.8</v>
      </c>
      <c r="D13" s="212">
        <f t="shared" si="0"/>
        <v>80.700000000000273</v>
      </c>
      <c r="E13" s="184">
        <v>757</v>
      </c>
      <c r="F13" s="211">
        <v>227.5</v>
      </c>
      <c r="G13" s="211">
        <f t="shared" si="1"/>
        <v>529.5</v>
      </c>
      <c r="H13" s="156">
        <v>147.09999999999997</v>
      </c>
      <c r="I13" s="212">
        <v>100.7</v>
      </c>
      <c r="J13" s="184">
        <v>248.9</v>
      </c>
      <c r="K13" s="219">
        <v>1.679</v>
      </c>
      <c r="L13" s="576">
        <f>1538.2+381.3</f>
        <v>1919.5</v>
      </c>
      <c r="M13" s="184">
        <v>914.38362600000005</v>
      </c>
      <c r="N13" s="211">
        <v>438.00208600000002</v>
      </c>
      <c r="O13" s="212">
        <v>-75.493926999999999</v>
      </c>
      <c r="P13" s="230">
        <v>115.5</v>
      </c>
      <c r="Q13" s="67"/>
      <c r="R13" s="67"/>
    </row>
    <row r="14" spans="1:18" s="6" customFormat="1" ht="17.25" customHeight="1" x14ac:dyDescent="0.2">
      <c r="A14" s="231" t="s">
        <v>129</v>
      </c>
      <c r="B14" s="68">
        <v>2211.1999999999998</v>
      </c>
      <c r="C14" s="4">
        <v>2568.3000000000002</v>
      </c>
      <c r="D14" s="69">
        <f t="shared" si="0"/>
        <v>357.10000000000036</v>
      </c>
      <c r="E14" s="68">
        <v>374.2</v>
      </c>
      <c r="F14" s="4">
        <v>247.2</v>
      </c>
      <c r="G14" s="4">
        <f t="shared" si="1"/>
        <v>127</v>
      </c>
      <c r="H14" s="10">
        <v>166.8</v>
      </c>
      <c r="I14" s="69">
        <v>157.30000000000001</v>
      </c>
      <c r="J14" s="68">
        <v>324.3</v>
      </c>
      <c r="K14" s="70">
        <v>1.9419999999999999</v>
      </c>
      <c r="L14" s="577">
        <v>1575.9</v>
      </c>
      <c r="M14" s="68">
        <v>929.97330399999998</v>
      </c>
      <c r="N14" s="4">
        <v>8.4587959999999995</v>
      </c>
      <c r="O14" s="69">
        <v>-475.18838899999997</v>
      </c>
      <c r="P14" s="232">
        <v>472.6</v>
      </c>
      <c r="Q14" s="67"/>
      <c r="R14" s="67"/>
    </row>
    <row r="15" spans="1:18" s="6" customFormat="1" ht="17.25" customHeight="1" x14ac:dyDescent="0.2">
      <c r="A15" s="231" t="s">
        <v>130</v>
      </c>
      <c r="B15" s="68">
        <v>2334.1999999999998</v>
      </c>
      <c r="C15" s="4">
        <v>2384.3000000000002</v>
      </c>
      <c r="D15" s="69">
        <f t="shared" si="0"/>
        <v>50.100000000000364</v>
      </c>
      <c r="E15" s="68">
        <v>389.9</v>
      </c>
      <c r="F15" s="4">
        <v>204.9</v>
      </c>
      <c r="G15" s="4">
        <f t="shared" si="1"/>
        <v>184.99999999999997</v>
      </c>
      <c r="H15" s="10">
        <v>162.28399999999999</v>
      </c>
      <c r="I15" s="69">
        <v>122.8</v>
      </c>
      <c r="J15" s="68">
        <v>307.8</v>
      </c>
      <c r="K15" s="70">
        <v>1.6639999999999999</v>
      </c>
      <c r="L15" s="577">
        <v>1670.5050000000001</v>
      </c>
      <c r="M15" s="68">
        <v>889.38352399999997</v>
      </c>
      <c r="N15" s="4">
        <v>-111.06697200000001</v>
      </c>
      <c r="O15" s="69">
        <v>-595.34652200000005</v>
      </c>
      <c r="P15" s="232">
        <v>522.70000000000005</v>
      </c>
      <c r="Q15" s="67"/>
      <c r="R15" s="67"/>
    </row>
    <row r="16" spans="1:18" s="6" customFormat="1" ht="17.25" customHeight="1" x14ac:dyDescent="0.2">
      <c r="A16" s="233" t="s">
        <v>131</v>
      </c>
      <c r="B16" s="214">
        <v>2408</v>
      </c>
      <c r="C16" s="215">
        <v>2569.4</v>
      </c>
      <c r="D16" s="216">
        <f t="shared" si="0"/>
        <v>161.40000000000009</v>
      </c>
      <c r="E16" s="214">
        <v>382.8</v>
      </c>
      <c r="F16" s="215">
        <v>187.1</v>
      </c>
      <c r="G16" s="215">
        <f t="shared" si="1"/>
        <v>195.70000000000002</v>
      </c>
      <c r="H16" s="215">
        <v>187.39999999999998</v>
      </c>
      <c r="I16" s="216">
        <v>184.6</v>
      </c>
      <c r="J16" s="214">
        <v>380.3</v>
      </c>
      <c r="K16" s="221">
        <v>1.9430000000000001</v>
      </c>
      <c r="L16" s="578">
        <v>1835.1</v>
      </c>
      <c r="M16" s="214">
        <v>774.70543099999998</v>
      </c>
      <c r="N16" s="215">
        <v>-292.415888</v>
      </c>
      <c r="O16" s="216">
        <v>-785.34431400000005</v>
      </c>
      <c r="P16" s="234">
        <v>684.1</v>
      </c>
      <c r="Q16" s="67"/>
      <c r="R16" s="67"/>
    </row>
    <row r="17" spans="1:18" s="6" customFormat="1" ht="17.25" customHeight="1" x14ac:dyDescent="0.2">
      <c r="A17" s="229" t="s">
        <v>132</v>
      </c>
      <c r="B17" s="184">
        <v>2374.7150000000001</v>
      </c>
      <c r="C17" s="211">
        <v>2687.2570000000001</v>
      </c>
      <c r="D17" s="212">
        <f t="shared" si="0"/>
        <v>312.54199999999992</v>
      </c>
      <c r="E17" s="184">
        <v>400.8</v>
      </c>
      <c r="F17" s="211">
        <v>223.8</v>
      </c>
      <c r="G17" s="211">
        <f t="shared" si="1"/>
        <v>177</v>
      </c>
      <c r="H17" s="211">
        <v>187.9</v>
      </c>
      <c r="I17" s="212">
        <v>112.8</v>
      </c>
      <c r="J17" s="184">
        <v>310.5</v>
      </c>
      <c r="K17" s="219">
        <v>1.57</v>
      </c>
      <c r="L17" s="579">
        <f>1845.1+9.9+4.3</f>
        <v>1859.3</v>
      </c>
      <c r="M17" s="184">
        <v>708.12746200000004</v>
      </c>
      <c r="N17" s="211">
        <v>-607.75611600000002</v>
      </c>
      <c r="O17" s="212">
        <v>-1083.3142760000001</v>
      </c>
      <c r="P17" s="230">
        <v>996.7</v>
      </c>
      <c r="Q17" s="67"/>
      <c r="R17" s="67"/>
    </row>
    <row r="18" spans="1:18" s="6" customFormat="1" ht="17.25" customHeight="1" x14ac:dyDescent="0.2">
      <c r="A18" s="231" t="s">
        <v>133</v>
      </c>
      <c r="B18" s="68">
        <v>2397.8530000000001</v>
      </c>
      <c r="C18" s="4">
        <v>2517.3389999999999</v>
      </c>
      <c r="D18" s="69">
        <f t="shared" si="0"/>
        <v>119.48599999999988</v>
      </c>
      <c r="E18" s="68">
        <v>437.5</v>
      </c>
      <c r="F18" s="4">
        <v>220.2</v>
      </c>
      <c r="G18" s="4">
        <f t="shared" si="1"/>
        <v>217.3</v>
      </c>
      <c r="H18" s="4">
        <v>205.3</v>
      </c>
      <c r="I18" s="69">
        <v>112.8</v>
      </c>
      <c r="J18" s="68">
        <v>323.10000000000002</v>
      </c>
      <c r="K18" s="70">
        <v>1.536</v>
      </c>
      <c r="L18" s="577">
        <f>1898.1+3.4+13.4</f>
        <v>1914.9</v>
      </c>
      <c r="M18" s="68">
        <v>717.62398599999995</v>
      </c>
      <c r="N18" s="4">
        <v>-733.67494299999998</v>
      </c>
      <c r="O18" s="69">
        <v>-1212.411762</v>
      </c>
      <c r="P18" s="232">
        <v>1116.0999999999999</v>
      </c>
      <c r="Q18" s="67"/>
      <c r="R18" s="67"/>
    </row>
    <row r="19" spans="1:18" s="6" customFormat="1" ht="17.25" customHeight="1" x14ac:dyDescent="0.2">
      <c r="A19" s="231" t="s">
        <v>134</v>
      </c>
      <c r="B19" s="68">
        <v>2841.3</v>
      </c>
      <c r="C19" s="4">
        <v>2686.3</v>
      </c>
      <c r="D19" s="69">
        <f t="shared" si="0"/>
        <v>-155</v>
      </c>
      <c r="E19" s="68">
        <v>417.3</v>
      </c>
      <c r="F19" s="4">
        <v>213.6</v>
      </c>
      <c r="G19" s="4">
        <f t="shared" si="1"/>
        <v>203.70000000000002</v>
      </c>
      <c r="H19" s="4">
        <v>196</v>
      </c>
      <c r="I19" s="69">
        <v>99</v>
      </c>
      <c r="J19" s="68">
        <v>294.89999999999998</v>
      </c>
      <c r="K19" s="70">
        <v>1.5049999999999999</v>
      </c>
      <c r="L19" s="574">
        <f>1861.1+9.4+4.2</f>
        <v>1874.7</v>
      </c>
      <c r="M19" s="68">
        <v>652.40246200000001</v>
      </c>
      <c r="N19" s="4">
        <v>-830.86321799999996</v>
      </c>
      <c r="O19" s="69">
        <v>-1318.0559720000001</v>
      </c>
      <c r="P19" s="232">
        <v>1001.1</v>
      </c>
      <c r="Q19" s="67"/>
      <c r="R19" s="67"/>
    </row>
    <row r="20" spans="1:18" s="6" customFormat="1" ht="17.25" customHeight="1" x14ac:dyDescent="0.2">
      <c r="A20" s="233" t="s">
        <v>135</v>
      </c>
      <c r="B20" s="214">
        <v>2483.1</v>
      </c>
      <c r="C20" s="215">
        <v>2531.9</v>
      </c>
      <c r="D20" s="216">
        <f t="shared" si="0"/>
        <v>48.800000000000182</v>
      </c>
      <c r="E20" s="214">
        <v>466.8</v>
      </c>
      <c r="F20" s="215">
        <v>192.4</v>
      </c>
      <c r="G20" s="215">
        <f t="shared" si="1"/>
        <v>274.39999999999998</v>
      </c>
      <c r="H20" s="215">
        <v>174.58799999999997</v>
      </c>
      <c r="I20" s="216">
        <v>14.6</v>
      </c>
      <c r="J20" s="214">
        <v>189.2</v>
      </c>
      <c r="K20" s="222">
        <v>1.0840000000000001</v>
      </c>
      <c r="L20" s="580">
        <f>1971.6+96.9+5+2.2</f>
        <v>2075.6999999999998</v>
      </c>
      <c r="M20" s="214">
        <v>562.57491900000002</v>
      </c>
      <c r="N20" s="215">
        <v>-750.35526900000002</v>
      </c>
      <c r="O20" s="216">
        <v>-1335.2202609999999</v>
      </c>
      <c r="P20" s="234">
        <v>1049.9000000000001</v>
      </c>
      <c r="Q20" s="67"/>
      <c r="R20" s="67"/>
    </row>
    <row r="21" spans="1:18" s="6" customFormat="1" ht="17.25" customHeight="1" x14ac:dyDescent="0.2">
      <c r="A21" s="229" t="s">
        <v>136</v>
      </c>
      <c r="B21" s="184">
        <v>2489.0940000000001</v>
      </c>
      <c r="C21" s="211">
        <v>2455.5459999999998</v>
      </c>
      <c r="D21" s="212">
        <f t="shared" si="0"/>
        <v>-33.548000000000229</v>
      </c>
      <c r="E21" s="184">
        <v>373.2</v>
      </c>
      <c r="F21" s="211">
        <v>212.4</v>
      </c>
      <c r="G21" s="211">
        <f t="shared" si="1"/>
        <v>160.79999999999998</v>
      </c>
      <c r="H21" s="211">
        <v>159.184</v>
      </c>
      <c r="I21" s="223">
        <f>J21-G21</f>
        <v>17.600000000000023</v>
      </c>
      <c r="J21" s="184">
        <v>178.4</v>
      </c>
      <c r="K21" s="224">
        <v>1.1100000000000001</v>
      </c>
      <c r="L21" s="581">
        <v>1883.3659329999998</v>
      </c>
      <c r="M21" s="184">
        <v>607.02587400000004</v>
      </c>
      <c r="N21" s="211">
        <v>-1655.5131369999999</v>
      </c>
      <c r="O21" s="212">
        <v>-2155.5651619999999</v>
      </c>
      <c r="P21" s="230">
        <v>2688.9</v>
      </c>
      <c r="Q21" s="67"/>
      <c r="R21" s="67"/>
    </row>
    <row r="22" spans="1:18" s="6" customFormat="1" ht="17.25" customHeight="1" x14ac:dyDescent="0.2">
      <c r="A22" s="231" t="s">
        <v>137</v>
      </c>
      <c r="B22" s="68">
        <v>2511.1</v>
      </c>
      <c r="C22" s="4">
        <v>2566.3000000000002</v>
      </c>
      <c r="D22" s="69">
        <f t="shared" si="0"/>
        <v>55.200000000000273</v>
      </c>
      <c r="E22" s="68">
        <v>378.9</v>
      </c>
      <c r="F22" s="4">
        <v>250.9</v>
      </c>
      <c r="G22" s="4">
        <f t="shared" si="1"/>
        <v>127.99999999999997</v>
      </c>
      <c r="H22" s="4">
        <v>122.61799999999999</v>
      </c>
      <c r="I22" s="69">
        <f t="shared" ref="I22:I28" si="3">J22-G22</f>
        <v>50.30000000000004</v>
      </c>
      <c r="J22" s="68">
        <v>178.3</v>
      </c>
      <c r="K22" s="70">
        <v>1.393</v>
      </c>
      <c r="L22" s="577">
        <v>1893.4087169999993</v>
      </c>
      <c r="M22" s="68">
        <v>638.30799999999999</v>
      </c>
      <c r="N22" s="4">
        <v>-1709.353611</v>
      </c>
      <c r="O22" s="69">
        <v>-2209.4246720000001</v>
      </c>
      <c r="P22" s="232">
        <v>2732.4</v>
      </c>
      <c r="Q22" s="67"/>
      <c r="R22" s="67"/>
    </row>
    <row r="23" spans="1:18" s="6" customFormat="1" ht="17.25" customHeight="1" x14ac:dyDescent="0.2">
      <c r="A23" s="231" t="s">
        <v>138</v>
      </c>
      <c r="B23" s="68">
        <v>2639.2</v>
      </c>
      <c r="C23" s="4">
        <v>2655.9</v>
      </c>
      <c r="D23" s="69">
        <f t="shared" si="0"/>
        <v>16.700000000000273</v>
      </c>
      <c r="E23" s="68">
        <v>415.7</v>
      </c>
      <c r="F23" s="4">
        <v>252.4</v>
      </c>
      <c r="G23" s="4">
        <f t="shared" si="1"/>
        <v>163.29999999999998</v>
      </c>
      <c r="H23" s="4">
        <v>151.52300000000002</v>
      </c>
      <c r="I23" s="69">
        <f t="shared" si="3"/>
        <v>48.500000000000028</v>
      </c>
      <c r="J23" s="68">
        <v>211.8</v>
      </c>
      <c r="K23" s="70">
        <v>1.2969999999999999</v>
      </c>
      <c r="L23" s="574">
        <v>1923.1227699999995</v>
      </c>
      <c r="M23" s="68">
        <v>820.98024299999997</v>
      </c>
      <c r="N23" s="4">
        <v>-1307.4835330000001</v>
      </c>
      <c r="O23" s="69">
        <v>-1808.0353809999999</v>
      </c>
      <c r="P23" s="232">
        <v>2324.6</v>
      </c>
      <c r="Q23" s="67"/>
      <c r="R23" s="67"/>
    </row>
    <row r="24" spans="1:18" s="6" customFormat="1" ht="17.25" customHeight="1" x14ac:dyDescent="0.2">
      <c r="A24" s="233" t="s">
        <v>139</v>
      </c>
      <c r="B24" s="214">
        <v>2445.1999999999998</v>
      </c>
      <c r="C24" s="215">
        <v>2393.6999999999998</v>
      </c>
      <c r="D24" s="216">
        <f t="shared" si="0"/>
        <v>-51.5</v>
      </c>
      <c r="E24" s="214">
        <v>355.9</v>
      </c>
      <c r="F24" s="215">
        <v>148.69999999999999</v>
      </c>
      <c r="G24" s="215">
        <f t="shared" si="1"/>
        <v>207.2</v>
      </c>
      <c r="H24" s="215">
        <v>194.92999999999998</v>
      </c>
      <c r="I24" s="216">
        <f t="shared" si="3"/>
        <v>-24</v>
      </c>
      <c r="J24" s="214">
        <v>183.2</v>
      </c>
      <c r="K24" s="222">
        <v>0.88400000000000001</v>
      </c>
      <c r="L24" s="580">
        <v>1945.4049659999998</v>
      </c>
      <c r="M24" s="214">
        <v>926.07426299999997</v>
      </c>
      <c r="N24" s="215">
        <v>-1263.7936870000001</v>
      </c>
      <c r="O24" s="216">
        <v>-1769.953129</v>
      </c>
      <c r="P24" s="234">
        <v>2298.1999999999998</v>
      </c>
      <c r="Q24" s="67"/>
      <c r="R24" s="67"/>
    </row>
    <row r="25" spans="1:18" s="6" customFormat="1" ht="17.25" customHeight="1" x14ac:dyDescent="0.2">
      <c r="A25" s="235" t="s">
        <v>140</v>
      </c>
      <c r="B25" s="208">
        <v>2391.1</v>
      </c>
      <c r="C25" s="209">
        <v>2519.9</v>
      </c>
      <c r="D25" s="210">
        <f t="shared" si="0"/>
        <v>128.80000000000018</v>
      </c>
      <c r="E25" s="208">
        <v>368.09407299999998</v>
      </c>
      <c r="F25" s="209">
        <v>146.64420699999999</v>
      </c>
      <c r="G25" s="209">
        <f t="shared" si="1"/>
        <v>221.44986599999999</v>
      </c>
      <c r="H25" s="209">
        <v>126.4</v>
      </c>
      <c r="I25" s="210">
        <f t="shared" si="3"/>
        <v>23.425366500000308</v>
      </c>
      <c r="J25" s="208">
        <v>244.87523250000029</v>
      </c>
      <c r="K25" s="218">
        <v>1.1060000000000001</v>
      </c>
      <c r="L25" s="581">
        <v>1985.3803160000002</v>
      </c>
      <c r="M25" s="208">
        <v>1044.382413</v>
      </c>
      <c r="N25" s="209">
        <v>-1332.5567149999999</v>
      </c>
      <c r="O25" s="210">
        <v>-1842.1928969999999</v>
      </c>
      <c r="P25" s="583">
        <v>2400.1999999999998</v>
      </c>
      <c r="Q25" s="67"/>
      <c r="R25" s="67"/>
    </row>
    <row r="26" spans="1:18" s="6" customFormat="1" ht="17.25" customHeight="1" x14ac:dyDescent="0.2">
      <c r="A26" s="231" t="s">
        <v>141</v>
      </c>
      <c r="B26" s="68">
        <v>2512.4</v>
      </c>
      <c r="C26" s="4">
        <v>2515.1</v>
      </c>
      <c r="D26" s="69">
        <f t="shared" si="0"/>
        <v>2.6999999999998181</v>
      </c>
      <c r="E26" s="68">
        <v>384.72899999999998</v>
      </c>
      <c r="F26" s="4">
        <v>145.066</v>
      </c>
      <c r="G26" s="4">
        <f t="shared" si="1"/>
        <v>239.66299999999998</v>
      </c>
      <c r="H26" s="4">
        <v>134.6</v>
      </c>
      <c r="I26" s="69">
        <f t="shared" si="3"/>
        <v>46.337000000000018</v>
      </c>
      <c r="J26" s="68">
        <v>286</v>
      </c>
      <c r="K26" s="71">
        <v>1.1930000000000001</v>
      </c>
      <c r="L26" s="574">
        <v>1996.984285</v>
      </c>
      <c r="M26" s="68">
        <v>1120.9676039999999</v>
      </c>
      <c r="N26" s="4">
        <v>-1357.3382999999999</v>
      </c>
      <c r="O26" s="69">
        <v>-1867.7804430000001</v>
      </c>
      <c r="P26" s="232">
        <v>2476.6</v>
      </c>
      <c r="Q26" s="67"/>
      <c r="R26" s="67"/>
    </row>
    <row r="27" spans="1:18" s="6" customFormat="1" ht="17.25" customHeight="1" x14ac:dyDescent="0.2">
      <c r="A27" s="231" t="s">
        <v>142</v>
      </c>
      <c r="B27" s="68">
        <v>2456.8000000000002</v>
      </c>
      <c r="C27" s="4">
        <v>2510.4</v>
      </c>
      <c r="D27" s="69">
        <f t="shared" ref="D27" si="4">C27-B27</f>
        <v>53.599999999999909</v>
      </c>
      <c r="E27" s="68">
        <v>381.15800000000002</v>
      </c>
      <c r="F27" s="4">
        <v>154.08500000000001</v>
      </c>
      <c r="G27" s="4">
        <f t="shared" ref="G27:G31" si="5">E27-F27</f>
        <v>227.07300000000001</v>
      </c>
      <c r="H27" s="4">
        <v>120.6</v>
      </c>
      <c r="I27" s="69">
        <f t="shared" si="3"/>
        <v>73.227000000000004</v>
      </c>
      <c r="J27" s="68">
        <v>300.3</v>
      </c>
      <c r="K27" s="71">
        <v>1.323</v>
      </c>
      <c r="L27" s="574">
        <v>2006.4808209999992</v>
      </c>
      <c r="M27" s="68">
        <v>1176.8288660000001</v>
      </c>
      <c r="N27" s="4">
        <v>-1363.8843859999999</v>
      </c>
      <c r="O27" s="69">
        <v>-1873.9612629999999</v>
      </c>
      <c r="P27" s="232">
        <v>2527.3000000000002</v>
      </c>
      <c r="Q27" s="67"/>
      <c r="R27" s="67"/>
    </row>
    <row r="28" spans="1:18" s="6" customFormat="1" ht="17.25" customHeight="1" x14ac:dyDescent="0.2">
      <c r="A28" s="233" t="s">
        <v>143</v>
      </c>
      <c r="B28" s="214">
        <v>2543.7654996000001</v>
      </c>
      <c r="C28" s="215">
        <v>2625.6546429999999</v>
      </c>
      <c r="D28" s="216">
        <f t="shared" ref="D28:D29" si="6">C28-B28</f>
        <v>81.889143399999739</v>
      </c>
      <c r="E28" s="214">
        <v>339.44033300000001</v>
      </c>
      <c r="F28" s="215">
        <v>138.950684</v>
      </c>
      <c r="G28" s="215">
        <f t="shared" ref="G28:G29" si="7">E28-F28</f>
        <v>200.48964900000001</v>
      </c>
      <c r="H28" s="215">
        <v>123.123559</v>
      </c>
      <c r="I28" s="216">
        <f t="shared" si="3"/>
        <v>70.331679999999977</v>
      </c>
      <c r="J28" s="214">
        <v>270.82132899999999</v>
      </c>
      <c r="K28" s="222">
        <f>J28/G28</f>
        <v>1.3507995567392108</v>
      </c>
      <c r="L28" s="582">
        <v>2044.9514699999993</v>
      </c>
      <c r="M28" s="214">
        <v>1139.068356</v>
      </c>
      <c r="N28" s="215">
        <v>-1469.3167390000001</v>
      </c>
      <c r="O28" s="216">
        <v>-1979.729411</v>
      </c>
      <c r="P28" s="234">
        <v>2644.3208460000001</v>
      </c>
      <c r="Q28" s="67"/>
      <c r="R28" s="67"/>
    </row>
    <row r="29" spans="1:18" s="6" customFormat="1" ht="17.25" customHeight="1" x14ac:dyDescent="0.2">
      <c r="A29" s="235" t="s">
        <v>441</v>
      </c>
      <c r="B29" s="155">
        <v>2780.2687089999999</v>
      </c>
      <c r="C29" s="156">
        <v>2914.5693620000002</v>
      </c>
      <c r="D29" s="157">
        <f t="shared" si="6"/>
        <v>134.30065300000024</v>
      </c>
      <c r="E29" s="155">
        <v>322.73647199999999</v>
      </c>
      <c r="F29" s="156">
        <v>133.33924099999999</v>
      </c>
      <c r="G29" s="156">
        <f t="shared" si="7"/>
        <v>189.397231</v>
      </c>
      <c r="H29" s="156">
        <v>138.00014300000001</v>
      </c>
      <c r="I29" s="157">
        <f>J29-G29</f>
        <v>142.66704100000001</v>
      </c>
      <c r="J29" s="155">
        <v>332.06427200000002</v>
      </c>
      <c r="K29" s="621">
        <f>J29/G29</f>
        <v>1.7532688849078264</v>
      </c>
      <c r="L29" s="171">
        <v>2272.3110000000001</v>
      </c>
      <c r="M29" s="171">
        <v>1292.071555</v>
      </c>
      <c r="N29" s="172">
        <v>-1664.984134</v>
      </c>
      <c r="O29" s="173">
        <v>-2175.4223699999998</v>
      </c>
      <c r="P29" s="622">
        <v>2841.7159999999999</v>
      </c>
      <c r="Q29" s="67"/>
      <c r="R29" s="67"/>
    </row>
    <row r="30" spans="1:18" s="6" customFormat="1" ht="17.25" customHeight="1" x14ac:dyDescent="0.2">
      <c r="A30" s="235" t="s">
        <v>144</v>
      </c>
      <c r="B30" s="204">
        <f>2685.529-0.946</f>
        <v>2684.5830000000001</v>
      </c>
      <c r="C30" s="205">
        <v>2675.6210000000001</v>
      </c>
      <c r="D30" s="206">
        <f>C30-B30</f>
        <v>-8.9619999999999891</v>
      </c>
      <c r="E30" s="204">
        <v>420.42700000000002</v>
      </c>
      <c r="F30" s="205">
        <v>139.714</v>
      </c>
      <c r="G30" s="205">
        <f t="shared" si="5"/>
        <v>280.71300000000002</v>
      </c>
      <c r="H30" s="205">
        <v>167.97200000000001</v>
      </c>
      <c r="I30" s="206">
        <f>J30-G30</f>
        <v>-87.448000000000036</v>
      </c>
      <c r="J30" s="204">
        <f>192.319+0.946</f>
        <v>193.26499999999999</v>
      </c>
      <c r="K30" s="623">
        <f>J30/G30</f>
        <v>0.6884789803108512</v>
      </c>
      <c r="L30" s="579">
        <f>2237.578-0.946</f>
        <v>2236.6320000000001</v>
      </c>
      <c r="M30" s="204"/>
      <c r="N30" s="205"/>
      <c r="O30" s="206"/>
      <c r="P30" s="262"/>
      <c r="Q30" s="67"/>
      <c r="R30" s="67"/>
    </row>
    <row r="31" spans="1:18" s="6" customFormat="1" ht="17.25" customHeight="1" x14ac:dyDescent="0.2">
      <c r="A31" s="236" t="s">
        <v>442</v>
      </c>
      <c r="B31" s="237">
        <f>2813.523+0.8</f>
        <v>2814.3230000000003</v>
      </c>
      <c r="C31" s="238">
        <v>2803.1179999999999</v>
      </c>
      <c r="D31" s="239">
        <f>C31-B31</f>
        <v>-11.205000000000382</v>
      </c>
      <c r="E31" s="237">
        <v>451.154</v>
      </c>
      <c r="F31" s="238">
        <v>150.08199999999999</v>
      </c>
      <c r="G31" s="238">
        <f t="shared" si="5"/>
        <v>301.072</v>
      </c>
      <c r="H31" s="238">
        <v>169.83500000000001</v>
      </c>
      <c r="I31" s="239">
        <f>J31-G31</f>
        <v>-97.843000000000018</v>
      </c>
      <c r="J31" s="326">
        <f>204.029-0.8</f>
        <v>203.22899999999998</v>
      </c>
      <c r="K31" s="624">
        <f>J31/G31</f>
        <v>0.67501793590901837</v>
      </c>
      <c r="L31" s="625">
        <f>2378.535+0.8</f>
        <v>2379.335</v>
      </c>
      <c r="M31" s="326"/>
      <c r="N31" s="327"/>
      <c r="O31" s="328"/>
      <c r="P31" s="584"/>
      <c r="Q31" s="67"/>
      <c r="R31" s="67"/>
    </row>
    <row r="32" spans="1:18" s="535" customFormat="1" ht="3.75" customHeight="1" x14ac:dyDescent="0.2">
      <c r="A32" s="531"/>
      <c r="B32" s="192"/>
      <c r="C32" s="192"/>
      <c r="D32" s="192"/>
      <c r="E32" s="192"/>
      <c r="F32" s="192"/>
      <c r="G32" s="192"/>
      <c r="H32" s="192"/>
      <c r="I32" s="192"/>
      <c r="J32" s="192"/>
      <c r="K32" s="532"/>
      <c r="L32" s="533"/>
      <c r="M32" s="196"/>
      <c r="N32" s="196"/>
      <c r="O32" s="196"/>
      <c r="P32" s="196"/>
      <c r="Q32" s="534"/>
      <c r="R32" s="534"/>
    </row>
    <row r="33" spans="1:19" ht="15" customHeight="1" x14ac:dyDescent="0.2">
      <c r="A33" s="714" t="s">
        <v>311</v>
      </c>
      <c r="B33" s="707"/>
      <c r="C33" s="707"/>
      <c r="D33" s="707"/>
      <c r="E33" s="707"/>
      <c r="F33" s="707"/>
      <c r="G33" s="707"/>
      <c r="H33" s="707"/>
      <c r="I33" s="707"/>
      <c r="J33" s="707"/>
      <c r="K33" s="707"/>
      <c r="L33" s="707"/>
      <c r="M33" s="707"/>
      <c r="N33" s="707"/>
      <c r="O33" s="707"/>
      <c r="P33" s="707"/>
      <c r="Q33" s="707"/>
    </row>
    <row r="34" spans="1:19" ht="15" customHeight="1" x14ac:dyDescent="0.2">
      <c r="A34" s="706" t="s">
        <v>106</v>
      </c>
      <c r="B34" s="707"/>
      <c r="C34" s="707"/>
      <c r="D34" s="707"/>
      <c r="E34" s="707"/>
      <c r="F34" s="707"/>
      <c r="G34" s="707"/>
      <c r="H34" s="707"/>
      <c r="I34" s="707"/>
      <c r="J34" s="707"/>
      <c r="K34" s="707"/>
      <c r="L34" s="707"/>
      <c r="M34" s="707"/>
      <c r="N34" s="707"/>
      <c r="O34" s="707"/>
      <c r="P34" s="707"/>
      <c r="Q34" s="707"/>
    </row>
    <row r="35" spans="1:19" ht="15" customHeight="1" x14ac:dyDescent="0.2">
      <c r="A35" s="706" t="s">
        <v>107</v>
      </c>
      <c r="B35" s="707"/>
      <c r="C35" s="707"/>
      <c r="D35" s="707"/>
      <c r="E35" s="707"/>
      <c r="F35" s="707"/>
      <c r="G35" s="707"/>
      <c r="H35" s="707"/>
      <c r="I35" s="707"/>
      <c r="J35" s="707"/>
      <c r="K35" s="707"/>
      <c r="L35" s="707"/>
      <c r="M35" s="707"/>
      <c r="N35" s="707"/>
      <c r="O35" s="707"/>
      <c r="P35" s="707"/>
      <c r="Q35" s="707"/>
    </row>
    <row r="36" spans="1:19" ht="15" customHeight="1" x14ac:dyDescent="0.2">
      <c r="A36" s="715" t="s">
        <v>108</v>
      </c>
      <c r="B36" s="707"/>
      <c r="C36" s="707"/>
      <c r="D36" s="707"/>
      <c r="E36" s="707"/>
      <c r="F36" s="707"/>
      <c r="G36" s="707"/>
      <c r="H36" s="707"/>
      <c r="I36" s="707"/>
      <c r="J36" s="707"/>
      <c r="K36" s="707"/>
      <c r="L36" s="707"/>
      <c r="M36" s="707"/>
      <c r="N36" s="707"/>
      <c r="O36" s="707"/>
      <c r="P36" s="707"/>
      <c r="Q36" s="707"/>
    </row>
    <row r="37" spans="1:19" ht="30" customHeight="1" x14ac:dyDescent="0.2">
      <c r="A37" s="710" t="s">
        <v>432</v>
      </c>
      <c r="B37" s="711"/>
      <c r="C37" s="711"/>
      <c r="D37" s="711"/>
      <c r="E37" s="711"/>
      <c r="F37" s="711"/>
      <c r="G37" s="711"/>
      <c r="H37" s="711"/>
      <c r="I37" s="711"/>
      <c r="J37" s="711"/>
      <c r="K37" s="711"/>
      <c r="L37" s="711"/>
      <c r="M37" s="711"/>
      <c r="N37" s="711"/>
      <c r="O37" s="711"/>
      <c r="P37" s="711"/>
      <c r="Q37" s="711"/>
      <c r="R37" s="487"/>
      <c r="S37" s="487"/>
    </row>
    <row r="38" spans="1:19" ht="15" customHeight="1" x14ac:dyDescent="0.2">
      <c r="A38" s="715" t="s">
        <v>109</v>
      </c>
      <c r="B38" s="707"/>
      <c r="C38" s="707"/>
      <c r="D38" s="707"/>
      <c r="E38" s="707"/>
      <c r="F38" s="707"/>
      <c r="G38" s="707"/>
      <c r="H38" s="707"/>
      <c r="I38" s="707"/>
      <c r="J38" s="707"/>
      <c r="K38" s="707"/>
      <c r="L38" s="707"/>
      <c r="M38" s="707"/>
      <c r="N38" s="707"/>
      <c r="O38" s="707"/>
      <c r="P38" s="707"/>
      <c r="Q38" s="707"/>
    </row>
    <row r="39" spans="1:19" s="522" customFormat="1" x14ac:dyDescent="0.2">
      <c r="A39" s="712" t="s">
        <v>302</v>
      </c>
      <c r="B39" s="711"/>
      <c r="C39" s="711"/>
      <c r="D39" s="711"/>
      <c r="E39" s="711"/>
      <c r="F39" s="711"/>
      <c r="G39" s="711"/>
      <c r="H39" s="711"/>
      <c r="I39" s="711"/>
      <c r="J39" s="711"/>
      <c r="K39" s="711"/>
      <c r="L39" s="711"/>
      <c r="M39" s="711"/>
      <c r="N39" s="711"/>
      <c r="O39" s="711"/>
      <c r="P39" s="711"/>
      <c r="Q39" s="707"/>
    </row>
    <row r="40" spans="1:19" ht="15" customHeight="1" x14ac:dyDescent="0.2">
      <c r="A40" s="706" t="s">
        <v>303</v>
      </c>
      <c r="B40" s="707"/>
      <c r="C40" s="707"/>
      <c r="D40" s="707"/>
      <c r="E40" s="707"/>
      <c r="F40" s="707"/>
      <c r="G40" s="707"/>
      <c r="H40" s="707"/>
      <c r="I40" s="707"/>
      <c r="J40" s="707"/>
      <c r="K40" s="707"/>
      <c r="L40" s="707"/>
      <c r="M40" s="707"/>
      <c r="N40" s="707"/>
      <c r="O40" s="707"/>
      <c r="P40" s="707"/>
      <c r="Q40" s="707"/>
    </row>
    <row r="41" spans="1:19" ht="15" customHeight="1" x14ac:dyDescent="0.2">
      <c r="A41" s="706" t="s">
        <v>304</v>
      </c>
      <c r="B41" s="707"/>
      <c r="C41" s="707"/>
      <c r="D41" s="707"/>
      <c r="E41" s="707"/>
      <c r="F41" s="707"/>
      <c r="G41" s="707"/>
      <c r="H41" s="707"/>
      <c r="I41" s="707"/>
      <c r="J41" s="707"/>
      <c r="K41" s="707"/>
      <c r="L41" s="707"/>
      <c r="M41" s="707"/>
      <c r="N41" s="707"/>
      <c r="O41" s="707"/>
      <c r="P41" s="707"/>
      <c r="Q41" s="707"/>
    </row>
    <row r="42" spans="1:19" ht="15" customHeight="1" x14ac:dyDescent="0.2">
      <c r="A42" s="706" t="s">
        <v>433</v>
      </c>
      <c r="B42" s="707"/>
      <c r="C42" s="707"/>
      <c r="D42" s="707"/>
      <c r="E42" s="707"/>
      <c r="F42" s="707"/>
      <c r="G42" s="707"/>
      <c r="H42" s="707"/>
      <c r="I42" s="707"/>
      <c r="J42" s="707"/>
      <c r="K42" s="707"/>
      <c r="L42" s="707"/>
      <c r="M42" s="707"/>
      <c r="N42" s="707"/>
      <c r="O42" s="707"/>
      <c r="P42" s="707"/>
      <c r="Q42" s="707"/>
    </row>
    <row r="43" spans="1:19" ht="30" customHeight="1" x14ac:dyDescent="0.2">
      <c r="A43" s="713" t="s">
        <v>435</v>
      </c>
      <c r="B43" s="711"/>
      <c r="C43" s="711"/>
      <c r="D43" s="711"/>
      <c r="E43" s="711"/>
      <c r="F43" s="711"/>
      <c r="G43" s="711"/>
      <c r="H43" s="711"/>
      <c r="I43" s="711"/>
      <c r="J43" s="711"/>
      <c r="K43" s="711"/>
      <c r="L43" s="711"/>
      <c r="M43" s="711"/>
      <c r="N43" s="711"/>
      <c r="O43" s="711"/>
      <c r="P43" s="711"/>
      <c r="Q43" s="707"/>
      <c r="R43" s="488"/>
      <c r="S43" s="488"/>
    </row>
  </sheetData>
  <mergeCells count="12">
    <mergeCell ref="A42:Q42"/>
    <mergeCell ref="N3:O3"/>
    <mergeCell ref="A37:Q37"/>
    <mergeCell ref="A39:Q39"/>
    <mergeCell ref="A43:Q43"/>
    <mergeCell ref="A33:Q33"/>
    <mergeCell ref="A34:Q34"/>
    <mergeCell ref="A35:Q35"/>
    <mergeCell ref="A36:Q36"/>
    <mergeCell ref="A38:Q38"/>
    <mergeCell ref="A40:Q40"/>
    <mergeCell ref="A41:Q41"/>
  </mergeCells>
  <pageMargins left="0.19685039370078741" right="0.19685039370078741" top="0.39370078740157483" bottom="0.59055118110236227" header="0.31496062992125984" footer="0.31496062992125984"/>
  <pageSetup paperSize="8" fitToHeight="0" orientation="landscape" r:id="rId1"/>
  <headerFooter>
    <oddFooter>&amp;L&amp;"Arial Narrow,Standard"DFG, 7. Dezember 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zoomScaleNormal="100" workbookViewId="0">
      <pane ySplit="5" topLeftCell="A6" activePane="bottomLeft" state="frozen"/>
      <selection pane="bottomLeft"/>
    </sheetView>
  </sheetViews>
  <sheetFormatPr baseColWidth="10" defaultColWidth="11.42578125" defaultRowHeight="12.75" x14ac:dyDescent="0.2"/>
  <cols>
    <col min="1" max="1" width="8" style="2" customWidth="1"/>
    <col min="2" max="2" width="8.42578125" style="2" bestFit="1" customWidth="1"/>
    <col min="3" max="5" width="8.42578125" style="2" customWidth="1"/>
    <col min="6" max="9" width="7.28515625" style="2" customWidth="1"/>
    <col min="10" max="11" width="8.42578125" style="2" customWidth="1"/>
    <col min="12" max="13" width="7.28515625" style="2" customWidth="1"/>
    <col min="14" max="14" width="43" style="58" customWidth="1"/>
    <col min="15" max="15" width="11.42578125" style="58"/>
    <col min="16" max="16384" width="11.42578125" style="2"/>
  </cols>
  <sheetData>
    <row r="1" spans="1:15" ht="15.75" x14ac:dyDescent="0.25">
      <c r="A1" s="1" t="s">
        <v>72</v>
      </c>
    </row>
    <row r="2" spans="1:15" ht="12.75" customHeight="1" x14ac:dyDescent="0.2">
      <c r="A2" s="2" t="s">
        <v>312</v>
      </c>
    </row>
    <row r="3" spans="1:15" ht="13.5" customHeight="1" x14ac:dyDescent="0.2"/>
    <row r="4" spans="1:15" s="7" customFormat="1" ht="15" customHeight="1" x14ac:dyDescent="0.2">
      <c r="A4" s="246"/>
      <c r="B4" s="227">
        <v>3</v>
      </c>
      <c r="C4" s="227">
        <v>30</v>
      </c>
      <c r="D4" s="227">
        <v>31</v>
      </c>
      <c r="E4" s="227">
        <v>36</v>
      </c>
      <c r="F4" s="717" t="s">
        <v>407</v>
      </c>
      <c r="G4" s="719"/>
      <c r="H4" s="719"/>
      <c r="I4" s="719"/>
      <c r="J4" s="227">
        <v>37</v>
      </c>
      <c r="K4" s="227">
        <v>38</v>
      </c>
      <c r="L4" s="717" t="s">
        <v>408</v>
      </c>
      <c r="M4" s="718"/>
      <c r="N4" s="14"/>
      <c r="O4" s="14"/>
    </row>
    <row r="5" spans="1:15" s="523" customFormat="1" ht="40.5" customHeight="1" x14ac:dyDescent="0.2">
      <c r="A5" s="553" t="s">
        <v>4</v>
      </c>
      <c r="B5" s="554" t="s">
        <v>398</v>
      </c>
      <c r="C5" s="554" t="s">
        <v>399</v>
      </c>
      <c r="D5" s="554" t="s">
        <v>400</v>
      </c>
      <c r="E5" s="554" t="s">
        <v>401</v>
      </c>
      <c r="F5" s="554" t="s">
        <v>402</v>
      </c>
      <c r="G5" s="554" t="s">
        <v>403</v>
      </c>
      <c r="H5" s="554" t="s">
        <v>404</v>
      </c>
      <c r="I5" s="554" t="s">
        <v>405</v>
      </c>
      <c r="J5" s="554" t="s">
        <v>406</v>
      </c>
      <c r="K5" s="554" t="s">
        <v>412</v>
      </c>
      <c r="L5" s="554" t="s">
        <v>413</v>
      </c>
      <c r="M5" s="555" t="s">
        <v>414</v>
      </c>
      <c r="N5" s="525"/>
      <c r="O5" s="525"/>
    </row>
    <row r="6" spans="1:15" s="3" customFormat="1" ht="17.25" customHeight="1" x14ac:dyDescent="0.2">
      <c r="A6" s="249" t="s">
        <v>120</v>
      </c>
      <c r="B6" s="211">
        <v>1760.9</v>
      </c>
      <c r="C6" s="211">
        <v>330.8</v>
      </c>
      <c r="D6" s="211">
        <v>235.7</v>
      </c>
      <c r="E6" s="211">
        <f>105.455+7.891+355.269+54.868</f>
        <v>523.48300000000006</v>
      </c>
      <c r="F6" s="211"/>
      <c r="G6" s="211"/>
      <c r="H6" s="211"/>
      <c r="I6" s="211"/>
      <c r="J6" s="211">
        <v>248.5</v>
      </c>
      <c r="K6" s="211">
        <v>-8</v>
      </c>
      <c r="L6" s="211"/>
      <c r="M6" s="250"/>
      <c r="N6" s="195"/>
      <c r="O6" s="194"/>
    </row>
    <row r="7" spans="1:15" s="3" customFormat="1" ht="17.25" customHeight="1" x14ac:dyDescent="0.2">
      <c r="A7" s="240" t="s">
        <v>121</v>
      </c>
      <c r="B7" s="4">
        <v>1930.4</v>
      </c>
      <c r="C7" s="4">
        <v>333.4</v>
      </c>
      <c r="D7" s="4">
        <v>249.6</v>
      </c>
      <c r="E7" s="4">
        <f>371.846+5.772+97.24+68.111+0.127</f>
        <v>543.096</v>
      </c>
      <c r="F7" s="4"/>
      <c r="G7" s="4"/>
      <c r="H7" s="4"/>
      <c r="I7" s="4"/>
      <c r="J7" s="5">
        <v>366.6</v>
      </c>
      <c r="K7" s="5">
        <v>1.1000000000000001</v>
      </c>
      <c r="L7" s="4"/>
      <c r="M7" s="241"/>
      <c r="N7" s="195"/>
      <c r="O7" s="194"/>
    </row>
    <row r="8" spans="1:15" s="3" customFormat="1" ht="17.25" customHeight="1" x14ac:dyDescent="0.2">
      <c r="A8" s="240" t="s">
        <v>122</v>
      </c>
      <c r="B8" s="4">
        <v>1881</v>
      </c>
      <c r="C8" s="4">
        <v>334</v>
      </c>
      <c r="D8" s="4">
        <v>279.7</v>
      </c>
      <c r="E8" s="4">
        <f>95.319+5.841+368.029+67.85+0.1</f>
        <v>537.13900000000001</v>
      </c>
      <c r="F8" s="4"/>
      <c r="G8" s="4"/>
      <c r="H8" s="4"/>
      <c r="I8" s="4"/>
      <c r="J8" s="4">
        <v>380</v>
      </c>
      <c r="K8" s="4"/>
      <c r="L8" s="4"/>
      <c r="M8" s="241"/>
      <c r="N8" s="195"/>
      <c r="O8" s="194"/>
    </row>
    <row r="9" spans="1:15" s="3" customFormat="1" ht="17.25" customHeight="1" x14ac:dyDescent="0.2">
      <c r="A9" s="251" t="s">
        <v>123</v>
      </c>
      <c r="B9" s="215">
        <v>1892.4</v>
      </c>
      <c r="C9" s="215">
        <v>332.9</v>
      </c>
      <c r="D9" s="215">
        <v>267.3</v>
      </c>
      <c r="E9" s="215">
        <f>381.981+5.742+98.927+67.295+0.18+0.46</f>
        <v>554.58500000000004</v>
      </c>
      <c r="F9" s="215"/>
      <c r="G9" s="215"/>
      <c r="H9" s="215"/>
      <c r="I9" s="215"/>
      <c r="J9" s="215">
        <v>371</v>
      </c>
      <c r="K9" s="215"/>
      <c r="L9" s="215"/>
      <c r="M9" s="252"/>
      <c r="N9" s="195"/>
      <c r="O9" s="194"/>
    </row>
    <row r="10" spans="1:15" s="3" customFormat="1" ht="17.25" customHeight="1" x14ac:dyDescent="0.2">
      <c r="A10" s="249" t="s">
        <v>124</v>
      </c>
      <c r="B10" s="211">
        <v>1995.4</v>
      </c>
      <c r="C10" s="211">
        <v>346.8</v>
      </c>
      <c r="D10" s="211">
        <v>284.10233699999998</v>
      </c>
      <c r="E10" s="211">
        <f>120.203719+5.905667+399.19612+68.389</f>
        <v>593.69450600000005</v>
      </c>
      <c r="F10" s="211"/>
      <c r="G10" s="211"/>
      <c r="H10" s="211"/>
      <c r="I10" s="211"/>
      <c r="J10" s="211">
        <v>375</v>
      </c>
      <c r="K10" s="211"/>
      <c r="L10" s="211"/>
      <c r="M10" s="250"/>
      <c r="N10" s="195"/>
      <c r="O10" s="194"/>
    </row>
    <row r="11" spans="1:15" s="3" customFormat="1" ht="17.25" customHeight="1" x14ac:dyDescent="0.2">
      <c r="A11" s="240" t="s">
        <v>125</v>
      </c>
      <c r="B11" s="4">
        <v>2064.4</v>
      </c>
      <c r="C11" s="4">
        <v>315.60000000000002</v>
      </c>
      <c r="D11" s="4">
        <v>287.2</v>
      </c>
      <c r="E11" s="4">
        <f>482.822+6.531+127.678+71.008-0.0176</f>
        <v>688.02139999999997</v>
      </c>
      <c r="F11" s="4"/>
      <c r="G11" s="4"/>
      <c r="H11" s="4"/>
      <c r="I11" s="4"/>
      <c r="J11" s="4">
        <v>395.7</v>
      </c>
      <c r="K11" s="4"/>
      <c r="L11" s="4"/>
      <c r="M11" s="241"/>
      <c r="N11" s="195"/>
      <c r="O11" s="194"/>
    </row>
    <row r="12" spans="1:15" s="3" customFormat="1" ht="17.25" customHeight="1" x14ac:dyDescent="0.2">
      <c r="A12" s="240" t="s">
        <v>126</v>
      </c>
      <c r="B12" s="4">
        <v>2105.6</v>
      </c>
      <c r="C12" s="4">
        <v>313.2</v>
      </c>
      <c r="D12" s="4">
        <v>284.8</v>
      </c>
      <c r="E12" s="4">
        <f>521.258+7.426+107.657+77.895</f>
        <v>714.2360000000001</v>
      </c>
      <c r="F12" s="4"/>
      <c r="G12" s="4"/>
      <c r="H12" s="4"/>
      <c r="I12" s="4"/>
      <c r="J12" s="4">
        <v>411.8</v>
      </c>
      <c r="K12" s="4"/>
      <c r="L12" s="4"/>
      <c r="M12" s="241"/>
      <c r="N12" s="195"/>
      <c r="O12" s="194"/>
    </row>
    <row r="13" spans="1:15" s="3" customFormat="1" ht="17.25" customHeight="1" x14ac:dyDescent="0.2">
      <c r="A13" s="251" t="s">
        <v>127</v>
      </c>
      <c r="B13" s="215">
        <v>2118.5</v>
      </c>
      <c r="C13" s="215">
        <v>312.89999999999998</v>
      </c>
      <c r="D13" s="215">
        <v>290</v>
      </c>
      <c r="E13" s="215">
        <f>115.869+7.374+503.286+79.718+9.998999</f>
        <v>716.24599899999998</v>
      </c>
      <c r="F13" s="215"/>
      <c r="G13" s="215"/>
      <c r="H13" s="215"/>
      <c r="I13" s="215"/>
      <c r="J13" s="215">
        <v>419.4</v>
      </c>
      <c r="K13" s="215">
        <v>29.8</v>
      </c>
      <c r="L13" s="215"/>
      <c r="M13" s="252"/>
      <c r="N13" s="195"/>
      <c r="O13" s="194"/>
    </row>
    <row r="14" spans="1:15" s="3" customFormat="1" ht="17.25" customHeight="1" x14ac:dyDescent="0.2">
      <c r="A14" s="249" t="s">
        <v>128</v>
      </c>
      <c r="B14" s="211">
        <v>2758.1</v>
      </c>
      <c r="C14" s="211">
        <v>315.5</v>
      </c>
      <c r="D14" s="211">
        <v>300</v>
      </c>
      <c r="E14" s="211">
        <f>136.372+7.75+499.409+81.44+78.041</f>
        <v>803.01199999999994</v>
      </c>
      <c r="F14" s="211"/>
      <c r="G14" s="211"/>
      <c r="H14" s="211"/>
      <c r="I14" s="211"/>
      <c r="J14" s="211">
        <v>423.5</v>
      </c>
      <c r="K14" s="211">
        <f>511.2+10</f>
        <v>521.20000000000005</v>
      </c>
      <c r="L14" s="211"/>
      <c r="M14" s="250"/>
      <c r="N14" s="195"/>
      <c r="O14" s="194"/>
    </row>
    <row r="15" spans="1:15" s="3" customFormat="1" ht="17.25" customHeight="1" x14ac:dyDescent="0.2">
      <c r="A15" s="240" t="s">
        <v>129</v>
      </c>
      <c r="B15" s="4">
        <v>2211.1999999999998</v>
      </c>
      <c r="C15" s="4">
        <v>292</v>
      </c>
      <c r="D15" s="4">
        <v>311.3</v>
      </c>
      <c r="E15" s="4">
        <f>530.303+7.685+152.283+95.276+0.0107</f>
        <v>785.55769999999995</v>
      </c>
      <c r="F15" s="4"/>
      <c r="G15" s="4"/>
      <c r="H15" s="4"/>
      <c r="I15" s="4"/>
      <c r="J15" s="4">
        <v>430.1</v>
      </c>
      <c r="K15" s="4"/>
      <c r="L15" s="4"/>
      <c r="M15" s="241"/>
      <c r="N15" s="195"/>
      <c r="O15" s="194"/>
    </row>
    <row r="16" spans="1:15" s="3" customFormat="1" ht="17.25" customHeight="1" x14ac:dyDescent="0.2">
      <c r="A16" s="240" t="s">
        <v>130</v>
      </c>
      <c r="B16" s="4">
        <v>2334.1999999999998</v>
      </c>
      <c r="C16" s="4">
        <v>299.10000000000002</v>
      </c>
      <c r="D16" s="4">
        <v>283.3</v>
      </c>
      <c r="E16" s="4">
        <f>196.141+7.539+592.717+115.343+0.125+0.005</f>
        <v>911.86999999999989</v>
      </c>
      <c r="F16" s="4"/>
      <c r="G16" s="4"/>
      <c r="H16" s="4"/>
      <c r="I16" s="4"/>
      <c r="J16" s="4">
        <v>439</v>
      </c>
      <c r="K16" s="56">
        <f>53.8+56.1</f>
        <v>109.9</v>
      </c>
      <c r="L16" s="4"/>
      <c r="M16" s="241"/>
      <c r="N16" s="195"/>
      <c r="O16" s="194"/>
    </row>
    <row r="17" spans="1:15" s="3" customFormat="1" ht="17.25" customHeight="1" x14ac:dyDescent="0.2">
      <c r="A17" s="251" t="s">
        <v>131</v>
      </c>
      <c r="B17" s="215">
        <v>2408</v>
      </c>
      <c r="C17" s="215">
        <v>318.2</v>
      </c>
      <c r="D17" s="215">
        <v>310.5</v>
      </c>
      <c r="E17" s="215">
        <f>202.184+8.075+670.311+102.866</f>
        <v>983.43600000000004</v>
      </c>
      <c r="F17" s="215"/>
      <c r="G17" s="215"/>
      <c r="H17" s="215"/>
      <c r="I17" s="215"/>
      <c r="J17" s="215">
        <v>358</v>
      </c>
      <c r="K17" s="215">
        <v>14.442</v>
      </c>
      <c r="L17" s="215"/>
      <c r="M17" s="252"/>
      <c r="N17" s="195"/>
      <c r="O17" s="194"/>
    </row>
    <row r="18" spans="1:15" s="3" customFormat="1" ht="17.25" customHeight="1" x14ac:dyDescent="0.2">
      <c r="A18" s="249" t="s">
        <v>132</v>
      </c>
      <c r="B18" s="211">
        <v>2374.6999999999998</v>
      </c>
      <c r="C18" s="211">
        <v>325</v>
      </c>
      <c r="D18" s="253">
        <v>295.8</v>
      </c>
      <c r="E18" s="527">
        <f>153.413+8.326+713.218+99.806</f>
        <v>974.76300000000003</v>
      </c>
      <c r="F18" s="253"/>
      <c r="G18" s="253"/>
      <c r="H18" s="253"/>
      <c r="I18" s="253"/>
      <c r="J18" s="253">
        <v>355.1</v>
      </c>
      <c r="K18" s="527">
        <v>9.0890000000000004</v>
      </c>
      <c r="L18" s="253"/>
      <c r="M18" s="254"/>
      <c r="N18" s="195"/>
      <c r="O18" s="195"/>
    </row>
    <row r="19" spans="1:15" s="3" customFormat="1" ht="17.25" customHeight="1" x14ac:dyDescent="0.2">
      <c r="A19" s="240" t="s">
        <v>133</v>
      </c>
      <c r="B19" s="4">
        <v>2397.9</v>
      </c>
      <c r="C19" s="4">
        <v>333.1</v>
      </c>
      <c r="D19" s="5">
        <v>283.39999999999998</v>
      </c>
      <c r="E19" s="524">
        <f>142.778+9+761.979+117.423+9.611</f>
        <v>1040.7910000000002</v>
      </c>
      <c r="F19" s="5"/>
      <c r="G19" s="5"/>
      <c r="H19" s="524"/>
      <c r="I19" s="5"/>
      <c r="J19" s="5">
        <v>369.8</v>
      </c>
      <c r="K19" s="524">
        <v>3.3809999999999998</v>
      </c>
      <c r="L19" s="5"/>
      <c r="M19" s="359"/>
      <c r="N19" s="195"/>
      <c r="O19" s="195"/>
    </row>
    <row r="20" spans="1:15" s="3" customFormat="1" ht="17.25" customHeight="1" x14ac:dyDescent="0.2">
      <c r="A20" s="240" t="s">
        <v>134</v>
      </c>
      <c r="B20" s="4">
        <v>2841.3</v>
      </c>
      <c r="C20" s="4">
        <v>342.7</v>
      </c>
      <c r="D20" s="5">
        <v>275.2</v>
      </c>
      <c r="E20" s="524">
        <f>103.95+9.86+792.19+121.263</f>
        <v>1027.2629999999999</v>
      </c>
      <c r="F20" s="5"/>
      <c r="G20" s="5"/>
      <c r="H20" s="524"/>
      <c r="I20" s="5"/>
      <c r="J20" s="524">
        <v>376.230999</v>
      </c>
      <c r="K20" s="524">
        <v>263.68700000000001</v>
      </c>
      <c r="L20" s="5"/>
      <c r="M20" s="359"/>
      <c r="N20" s="195"/>
      <c r="O20" s="195"/>
    </row>
    <row r="21" spans="1:15" s="3" customFormat="1" ht="17.25" customHeight="1" x14ac:dyDescent="0.2">
      <c r="A21" s="251" t="s">
        <v>135</v>
      </c>
      <c r="B21" s="215">
        <v>2483.1</v>
      </c>
      <c r="C21" s="215">
        <v>345.1</v>
      </c>
      <c r="D21" s="255">
        <v>299.89999999999998</v>
      </c>
      <c r="E21" s="215">
        <f>139.76+10.076+877.502+102.255</f>
        <v>1129.5929999999998</v>
      </c>
      <c r="F21" s="215"/>
      <c r="G21" s="215"/>
      <c r="H21" s="215"/>
      <c r="I21" s="215"/>
      <c r="J21" s="255">
        <v>388.9</v>
      </c>
      <c r="K21" s="557">
        <v>2.222</v>
      </c>
      <c r="L21" s="215"/>
      <c r="M21" s="252"/>
      <c r="N21" s="194"/>
      <c r="O21" s="194"/>
    </row>
    <row r="22" spans="1:15" s="3" customFormat="1" ht="17.25" customHeight="1" x14ac:dyDescent="0.2">
      <c r="A22" s="249" t="s">
        <v>313</v>
      </c>
      <c r="B22" s="211">
        <v>2489.1</v>
      </c>
      <c r="C22" s="211">
        <v>349.4</v>
      </c>
      <c r="D22" s="253">
        <v>297.5</v>
      </c>
      <c r="E22" s="211">
        <f>SUM(F22:I22)</f>
        <v>1110.5133660000001</v>
      </c>
      <c r="F22" s="211">
        <f>76.752001+13.728528+0.946016</f>
        <v>91.426545000000004</v>
      </c>
      <c r="G22" s="211">
        <v>43.066676000000001</v>
      </c>
      <c r="H22" s="211">
        <v>894.19192699999996</v>
      </c>
      <c r="I22" s="211">
        <f>0.350762+81.477456</f>
        <v>81.828218000000007</v>
      </c>
      <c r="J22" s="253">
        <v>394.1</v>
      </c>
      <c r="K22" s="211">
        <f>SUM(L22:M22)</f>
        <v>102.798</v>
      </c>
      <c r="L22" s="211">
        <v>102.798</v>
      </c>
      <c r="M22" s="250"/>
      <c r="N22" s="526"/>
      <c r="O22" s="195"/>
    </row>
    <row r="23" spans="1:15" s="3" customFormat="1" ht="17.25" customHeight="1" x14ac:dyDescent="0.2">
      <c r="A23" s="240" t="s">
        <v>137</v>
      </c>
      <c r="B23" s="4">
        <v>2511.1</v>
      </c>
      <c r="C23" s="4">
        <v>355.9</v>
      </c>
      <c r="D23" s="4">
        <v>295.10000000000002</v>
      </c>
      <c r="E23" s="4">
        <f t="shared" ref="E23:E28" si="0">SUM(F23:I23)</f>
        <v>1128.940877</v>
      </c>
      <c r="F23" s="4">
        <f>80.119068+14.300161+0.946016</f>
        <v>95.365245000000002</v>
      </c>
      <c r="G23" s="4">
        <v>52.042544999999997</v>
      </c>
      <c r="H23" s="4">
        <v>906.07717600000001</v>
      </c>
      <c r="I23" s="4">
        <f>3.141313+72.314598</f>
        <v>75.455911</v>
      </c>
      <c r="J23" s="4">
        <v>424.6</v>
      </c>
      <c r="K23" s="4">
        <f t="shared" ref="K23:K29" si="1">SUM(L23:M23)</f>
        <v>64.435000000000002</v>
      </c>
      <c r="L23" s="4">
        <v>64.435000000000002</v>
      </c>
      <c r="M23" s="241"/>
      <c r="N23" s="195"/>
      <c r="O23" s="195"/>
    </row>
    <row r="24" spans="1:15" s="3" customFormat="1" ht="17.25" customHeight="1" x14ac:dyDescent="0.2">
      <c r="A24" s="240" t="s">
        <v>138</v>
      </c>
      <c r="B24" s="4">
        <v>2639.2</v>
      </c>
      <c r="C24" s="4">
        <v>358.8</v>
      </c>
      <c r="D24" s="4">
        <v>287.89999999999998</v>
      </c>
      <c r="E24" s="4">
        <f t="shared" si="0"/>
        <v>1145.3556759999999</v>
      </c>
      <c r="F24" s="4">
        <f>80.89827+14.246394+1.106007</f>
        <v>96.250670999999997</v>
      </c>
      <c r="G24" s="4">
        <v>42.616757</v>
      </c>
      <c r="H24" s="4">
        <v>921.21289100000001</v>
      </c>
      <c r="I24" s="4">
        <f>-0.719006+85.994363</f>
        <v>85.275357000000014</v>
      </c>
      <c r="J24" s="4">
        <v>431</v>
      </c>
      <c r="K24" s="4">
        <f t="shared" si="1"/>
        <v>172.346</v>
      </c>
      <c r="L24" s="4">
        <v>92.346000000000004</v>
      </c>
      <c r="M24" s="241">
        <v>80</v>
      </c>
      <c r="N24" s="195"/>
      <c r="O24" s="195"/>
    </row>
    <row r="25" spans="1:15" s="3" customFormat="1" ht="17.25" customHeight="1" x14ac:dyDescent="0.2">
      <c r="A25" s="251" t="s">
        <v>139</v>
      </c>
      <c r="B25" s="215">
        <v>2445.1999999999998</v>
      </c>
      <c r="C25" s="215">
        <v>362.7</v>
      </c>
      <c r="D25" s="215">
        <v>300.39999999999998</v>
      </c>
      <c r="E25" s="215">
        <f t="shared" si="0"/>
        <v>1076.9008180000001</v>
      </c>
      <c r="F25" s="215">
        <f>11.501225+14.305419+1.500007</f>
        <v>27.306650999999999</v>
      </c>
      <c r="G25" s="215">
        <v>65.079342999999994</v>
      </c>
      <c r="H25" s="215">
        <v>866.78064300000005</v>
      </c>
      <c r="I25" s="215">
        <f>0.182213+117.551968</f>
        <v>117.73418100000001</v>
      </c>
      <c r="J25" s="215">
        <v>350.8</v>
      </c>
      <c r="K25" s="215">
        <f t="shared" si="1"/>
        <v>91.486999999999995</v>
      </c>
      <c r="L25" s="215">
        <v>91.486999999999995</v>
      </c>
      <c r="M25" s="252"/>
      <c r="N25" s="195"/>
      <c r="O25" s="195"/>
    </row>
    <row r="26" spans="1:15" s="3" customFormat="1" ht="17.25" customHeight="1" x14ac:dyDescent="0.2">
      <c r="A26" s="247" t="s">
        <v>140</v>
      </c>
      <c r="B26" s="209">
        <v>2391.1</v>
      </c>
      <c r="C26" s="209">
        <v>376.1</v>
      </c>
      <c r="D26" s="209">
        <v>297.39999999999998</v>
      </c>
      <c r="E26" s="209">
        <f t="shared" si="0"/>
        <v>1065.9480679999999</v>
      </c>
      <c r="F26" s="209">
        <f>2.36377+13.150828+1.146015</f>
        <v>16.660613000000001</v>
      </c>
      <c r="G26" s="209">
        <v>80.464607999999998</v>
      </c>
      <c r="H26" s="209">
        <v>862.89634000000001</v>
      </c>
      <c r="I26" s="209">
        <f>-7.973992+113.900499</f>
        <v>105.926507</v>
      </c>
      <c r="J26" s="209">
        <v>360.9</v>
      </c>
      <c r="K26" s="209">
        <f t="shared" si="1"/>
        <v>0.28999999999999998</v>
      </c>
      <c r="L26" s="209">
        <v>0.28999999999999998</v>
      </c>
      <c r="M26" s="248"/>
      <c r="N26" s="195"/>
      <c r="O26" s="195"/>
    </row>
    <row r="27" spans="1:15" s="9" customFormat="1" ht="17.25" customHeight="1" x14ac:dyDescent="0.2">
      <c r="A27" s="242" t="s">
        <v>141</v>
      </c>
      <c r="B27" s="10">
        <v>2512.4</v>
      </c>
      <c r="C27" s="10">
        <v>380.6</v>
      </c>
      <c r="D27" s="10">
        <v>297.3</v>
      </c>
      <c r="E27" s="10">
        <f t="shared" si="0"/>
        <v>1069.198764</v>
      </c>
      <c r="F27" s="10">
        <f>1.735855+13.526539+1.386506</f>
        <v>16.648900000000001</v>
      </c>
      <c r="G27" s="10">
        <v>67.560981999999996</v>
      </c>
      <c r="H27" s="10">
        <v>868.49612100000002</v>
      </c>
      <c r="I27" s="10">
        <f>0.055+116.437761</f>
        <v>116.492761</v>
      </c>
      <c r="J27" s="10">
        <v>364.75270499999999</v>
      </c>
      <c r="K27" s="10">
        <f t="shared" si="1"/>
        <v>134.57900000000001</v>
      </c>
      <c r="L27" s="10">
        <v>44.579000000000001</v>
      </c>
      <c r="M27" s="243">
        <v>90</v>
      </c>
      <c r="N27" s="193"/>
      <c r="O27" s="193"/>
    </row>
    <row r="28" spans="1:15" s="9" customFormat="1" ht="17.25" customHeight="1" x14ac:dyDescent="0.2">
      <c r="A28" s="242" t="s">
        <v>142</v>
      </c>
      <c r="B28" s="10">
        <v>2456.79</v>
      </c>
      <c r="C28" s="10">
        <v>384.75599999999997</v>
      </c>
      <c r="D28" s="10">
        <v>297.16899999999998</v>
      </c>
      <c r="E28" s="10">
        <f t="shared" si="0"/>
        <v>1076.7980930000001</v>
      </c>
      <c r="F28" s="10">
        <f>2.277583+13.441109+1.26009</f>
        <v>16.978782000000002</v>
      </c>
      <c r="G28" s="10">
        <v>58.903759000000001</v>
      </c>
      <c r="H28" s="10">
        <v>887.12916299999995</v>
      </c>
      <c r="I28" s="10">
        <v>113.786389</v>
      </c>
      <c r="J28" s="10">
        <v>356.86599999999999</v>
      </c>
      <c r="K28" s="10">
        <f t="shared" si="1"/>
        <v>80.444000000000003</v>
      </c>
      <c r="L28" s="10">
        <v>80.444000000000003</v>
      </c>
      <c r="M28" s="243"/>
      <c r="N28" s="193"/>
      <c r="O28" s="193"/>
    </row>
    <row r="29" spans="1:15" s="9" customFormat="1" ht="17.25" customHeight="1" x14ac:dyDescent="0.2">
      <c r="A29" s="365" t="s">
        <v>143</v>
      </c>
      <c r="B29" s="220">
        <v>2543.7549960000001</v>
      </c>
      <c r="C29" s="220">
        <v>402.21151500000002</v>
      </c>
      <c r="D29" s="220">
        <v>318.39263899999997</v>
      </c>
      <c r="E29" s="220">
        <f>SUM(F29:I29)</f>
        <v>1128.0607180000002</v>
      </c>
      <c r="F29" s="220">
        <f>1.787265+13.978394+2.52609</f>
        <v>18.291748999999999</v>
      </c>
      <c r="G29" s="220">
        <v>60.722549999999998</v>
      </c>
      <c r="H29" s="220">
        <v>934.26471000000004</v>
      </c>
      <c r="I29" s="220">
        <f>4.129968+110.651741</f>
        <v>114.78170900000001</v>
      </c>
      <c r="J29" s="220">
        <v>369.67685999999998</v>
      </c>
      <c r="K29" s="220">
        <f t="shared" si="1"/>
        <v>40.130000000000003</v>
      </c>
      <c r="L29" s="220">
        <v>0.13</v>
      </c>
      <c r="M29" s="364">
        <v>40</v>
      </c>
      <c r="N29" s="193"/>
      <c r="O29" s="193"/>
    </row>
    <row r="30" spans="1:15" s="9" customFormat="1" ht="17.25" customHeight="1" x14ac:dyDescent="0.2">
      <c r="A30" s="601" t="s">
        <v>441</v>
      </c>
      <c r="B30" s="156">
        <v>2780.2687089999999</v>
      </c>
      <c r="C30" s="156">
        <v>406.57536399999998</v>
      </c>
      <c r="D30" s="156">
        <v>326.89455700000002</v>
      </c>
      <c r="E30" s="156">
        <v>1322.7680620000001</v>
      </c>
      <c r="F30" s="156">
        <f>1.573981+14.363396+0.986024</f>
        <v>16.923400999999998</v>
      </c>
      <c r="G30" s="156">
        <v>61.568286999999998</v>
      </c>
      <c r="H30" s="156">
        <v>1134.3761340000001</v>
      </c>
      <c r="I30" s="156">
        <f>-0.091851+109.992091</f>
        <v>109.90024</v>
      </c>
      <c r="J30" s="156">
        <v>378.56676700000003</v>
      </c>
      <c r="K30" s="156">
        <v>67</v>
      </c>
      <c r="L30" s="156"/>
      <c r="M30" s="626">
        <v>67</v>
      </c>
      <c r="N30" s="193"/>
      <c r="O30" s="193"/>
    </row>
    <row r="31" spans="1:15" s="9" customFormat="1" ht="17.25" customHeight="1" x14ac:dyDescent="0.2">
      <c r="A31" s="598" t="s">
        <v>144</v>
      </c>
      <c r="B31" s="599">
        <f>2685.529-0.946</f>
        <v>2684.5830000000001</v>
      </c>
      <c r="C31" s="599">
        <f>424.017-0.646</f>
        <v>423.37099999999998</v>
      </c>
      <c r="D31" s="599">
        <v>331.988</v>
      </c>
      <c r="E31" s="599">
        <f t="shared" ref="E31" si="2">SUM(F31:I31)</f>
        <v>1234.9880000000001</v>
      </c>
      <c r="F31" s="599">
        <f>1.777+15.057+0.44</f>
        <v>17.274000000000001</v>
      </c>
      <c r="G31" s="599">
        <v>74.212999999999994</v>
      </c>
      <c r="H31" s="599">
        <f>987.009-0.3</f>
        <v>986.70900000000006</v>
      </c>
      <c r="I31" s="599">
        <v>156.792</v>
      </c>
      <c r="J31" s="599">
        <v>378.584</v>
      </c>
      <c r="K31" s="599"/>
      <c r="L31" s="599"/>
      <c r="M31" s="600"/>
      <c r="N31" s="193"/>
      <c r="O31" s="193"/>
    </row>
    <row r="32" spans="1:15" s="9" customFormat="1" ht="17.25" customHeight="1" x14ac:dyDescent="0.2">
      <c r="A32" s="244" t="s">
        <v>442</v>
      </c>
      <c r="B32" s="238">
        <f>2813.523+0.8</f>
        <v>2814.3230000000003</v>
      </c>
      <c r="C32" s="238">
        <f>446.4+0.8</f>
        <v>447.2</v>
      </c>
      <c r="D32" s="238">
        <v>363.63299999999998</v>
      </c>
      <c r="E32" s="238">
        <f t="shared" ref="E32" si="3">SUM(F32:I32)</f>
        <v>1293.7180000000001</v>
      </c>
      <c r="F32" s="238">
        <f>1.791+15.319+1.24</f>
        <v>18.349999999999998</v>
      </c>
      <c r="G32" s="238">
        <v>71.343000000000004</v>
      </c>
      <c r="H32" s="238">
        <v>1046.2170000000001</v>
      </c>
      <c r="I32" s="238">
        <v>157.80799999999999</v>
      </c>
      <c r="J32" s="238">
        <v>387.322</v>
      </c>
      <c r="K32" s="238"/>
      <c r="L32" s="238"/>
      <c r="M32" s="245"/>
      <c r="N32" s="193"/>
      <c r="O32" s="193"/>
    </row>
    <row r="33" spans="1:15" ht="3.75" customHeight="1" x14ac:dyDescent="0.2"/>
    <row r="34" spans="1:15" ht="15" customHeight="1" x14ac:dyDescent="0.2">
      <c r="A34" s="720" t="s">
        <v>315</v>
      </c>
      <c r="B34" s="721"/>
      <c r="C34" s="721"/>
      <c r="D34" s="721"/>
      <c r="E34" s="721"/>
      <c r="F34" s="721"/>
      <c r="G34" s="721"/>
      <c r="H34" s="721"/>
      <c r="I34" s="721"/>
      <c r="J34" s="721"/>
      <c r="K34" s="721"/>
      <c r="L34" s="722"/>
      <c r="M34" s="722"/>
      <c r="N34" s="707"/>
    </row>
    <row r="35" spans="1:15" ht="41.25" customHeight="1" x14ac:dyDescent="0.2">
      <c r="A35" s="720" t="s">
        <v>436</v>
      </c>
      <c r="B35" s="721"/>
      <c r="C35" s="721"/>
      <c r="D35" s="721"/>
      <c r="E35" s="721"/>
      <c r="F35" s="721"/>
      <c r="G35" s="721"/>
      <c r="H35" s="721"/>
      <c r="I35" s="721"/>
      <c r="J35" s="721"/>
      <c r="K35" s="721"/>
      <c r="L35" s="722"/>
      <c r="M35" s="722"/>
      <c r="N35" s="707"/>
    </row>
    <row r="36" spans="1:15" ht="15" customHeight="1" x14ac:dyDescent="0.2">
      <c r="A36" s="713" t="s">
        <v>316</v>
      </c>
      <c r="B36" s="711"/>
      <c r="C36" s="711"/>
      <c r="D36" s="711"/>
      <c r="E36" s="711"/>
      <c r="F36" s="711"/>
      <c r="G36" s="711"/>
      <c r="H36" s="711"/>
      <c r="I36" s="711"/>
      <c r="J36" s="711"/>
      <c r="K36" s="711"/>
      <c r="L36" s="711"/>
      <c r="M36" s="711"/>
      <c r="N36" s="707"/>
    </row>
    <row r="37" spans="1:15" ht="15" x14ac:dyDescent="0.2">
      <c r="A37" s="706" t="s">
        <v>317</v>
      </c>
      <c r="B37" s="707"/>
      <c r="C37" s="707"/>
      <c r="D37" s="707"/>
      <c r="E37" s="707"/>
      <c r="F37" s="707"/>
      <c r="G37" s="707"/>
      <c r="H37" s="707"/>
      <c r="I37" s="707"/>
      <c r="J37" s="707"/>
      <c r="K37" s="707"/>
      <c r="L37" s="707"/>
      <c r="M37" s="707"/>
      <c r="N37" s="707"/>
    </row>
    <row r="38" spans="1:15" ht="15" x14ac:dyDescent="0.2">
      <c r="A38" s="706" t="s">
        <v>318</v>
      </c>
      <c r="B38" s="707"/>
      <c r="C38" s="707"/>
      <c r="D38" s="707"/>
      <c r="E38" s="707"/>
      <c r="F38" s="707"/>
      <c r="G38" s="707"/>
      <c r="H38" s="707"/>
      <c r="I38" s="707"/>
      <c r="J38" s="707"/>
      <c r="K38" s="707"/>
      <c r="L38" s="707"/>
      <c r="M38" s="707"/>
      <c r="N38" s="707"/>
    </row>
    <row r="39" spans="1:15" ht="15" x14ac:dyDescent="0.2">
      <c r="A39" s="706" t="s">
        <v>319</v>
      </c>
      <c r="B39" s="707"/>
      <c r="C39" s="707"/>
      <c r="D39" s="707"/>
      <c r="E39" s="707"/>
      <c r="F39" s="707"/>
      <c r="G39" s="707"/>
      <c r="H39" s="707"/>
      <c r="I39" s="707"/>
      <c r="J39" s="707"/>
      <c r="K39" s="707"/>
      <c r="L39" s="707"/>
      <c r="M39" s="707"/>
      <c r="N39" s="707"/>
    </row>
    <row r="40" spans="1:15" ht="66" customHeight="1" x14ac:dyDescent="0.2">
      <c r="A40" s="716" t="s">
        <v>410</v>
      </c>
      <c r="B40" s="711"/>
      <c r="C40" s="711"/>
      <c r="D40" s="711"/>
      <c r="E40" s="711"/>
      <c r="F40" s="711"/>
      <c r="G40" s="711"/>
      <c r="H40" s="711"/>
      <c r="I40" s="711"/>
      <c r="J40" s="711"/>
      <c r="K40" s="711"/>
      <c r="L40" s="707"/>
      <c r="M40" s="707"/>
      <c r="N40" s="707"/>
      <c r="O40" s="2"/>
    </row>
    <row r="41" spans="1:15" ht="15" x14ac:dyDescent="0.2">
      <c r="A41" s="706" t="s">
        <v>456</v>
      </c>
      <c r="B41" s="707"/>
      <c r="C41" s="707"/>
      <c r="D41" s="707"/>
      <c r="E41" s="707"/>
      <c r="F41" s="707"/>
      <c r="G41" s="707"/>
      <c r="H41" s="707"/>
      <c r="I41" s="707"/>
      <c r="J41" s="707"/>
      <c r="K41" s="707"/>
      <c r="L41" s="707"/>
      <c r="M41" s="707"/>
      <c r="N41" s="707"/>
    </row>
    <row r="42" spans="1:15" ht="66" customHeight="1" x14ac:dyDescent="0.2">
      <c r="A42" s="713" t="s">
        <v>455</v>
      </c>
      <c r="B42" s="707"/>
      <c r="C42" s="707"/>
      <c r="D42" s="707"/>
      <c r="E42" s="707"/>
      <c r="F42" s="707"/>
      <c r="G42" s="707"/>
      <c r="H42" s="707"/>
      <c r="I42" s="707"/>
      <c r="J42" s="707"/>
      <c r="K42" s="707"/>
      <c r="L42" s="707"/>
      <c r="M42" s="707"/>
      <c r="N42" s="707"/>
    </row>
  </sheetData>
  <mergeCells count="11">
    <mergeCell ref="A39:N39"/>
    <mergeCell ref="A40:N40"/>
    <mergeCell ref="A41:N41"/>
    <mergeCell ref="A42:N42"/>
    <mergeCell ref="L4:M4"/>
    <mergeCell ref="F4:I4"/>
    <mergeCell ref="A34:N34"/>
    <mergeCell ref="A35:N35"/>
    <mergeCell ref="A36:N36"/>
    <mergeCell ref="A37:N37"/>
    <mergeCell ref="A38:N38"/>
  </mergeCells>
  <pageMargins left="0.19685039370078741" right="0.19685039370078741" top="0.39370078740157483" bottom="0.59055118110236227" header="0.31496062992125984" footer="0.31496062992125984"/>
  <pageSetup paperSize="8" fitToHeight="0" orientation="portrait" r:id="rId1"/>
  <headerFooter>
    <oddFooter>&amp;L&amp;"Arial Narrow,Standard"DFG, 7. Dezember 2022</oddFooter>
  </headerFooter>
  <ignoredErrors>
    <ignoredError sqref="E22:E2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Normal="100" workbookViewId="0">
      <pane ySplit="5" topLeftCell="A6" activePane="bottomLeft" state="frozen"/>
      <selection pane="bottomLeft"/>
    </sheetView>
  </sheetViews>
  <sheetFormatPr baseColWidth="10" defaultColWidth="11.42578125" defaultRowHeight="12.75" x14ac:dyDescent="0.2"/>
  <cols>
    <col min="1" max="9" width="8" style="2" customWidth="1"/>
    <col min="10" max="11" width="6.28515625" style="2" customWidth="1"/>
    <col min="12" max="12" width="57.85546875" style="2" customWidth="1"/>
    <col min="13" max="16384" width="11.42578125" style="2"/>
  </cols>
  <sheetData>
    <row r="1" spans="1:11" ht="15.75" x14ac:dyDescent="0.25">
      <c r="A1" s="1" t="s">
        <v>73</v>
      </c>
    </row>
    <row r="2" spans="1:11" ht="12.75" customHeight="1" x14ac:dyDescent="0.2">
      <c r="A2" s="2" t="s">
        <v>312</v>
      </c>
    </row>
    <row r="3" spans="1:11" ht="12.75" customHeight="1" x14ac:dyDescent="0.2"/>
    <row r="4" spans="1:11" s="528" customFormat="1" ht="15" customHeight="1" x14ac:dyDescent="0.2">
      <c r="A4" s="558"/>
      <c r="B4" s="559">
        <v>4</v>
      </c>
      <c r="C4" s="559">
        <v>40</v>
      </c>
      <c r="D4" s="559">
        <v>41</v>
      </c>
      <c r="E4" s="559">
        <v>42</v>
      </c>
      <c r="F4" s="559">
        <v>44</v>
      </c>
      <c r="G4" s="559">
        <v>46</v>
      </c>
      <c r="H4" s="559">
        <v>47</v>
      </c>
      <c r="I4" s="559">
        <v>48</v>
      </c>
      <c r="J4" s="717" t="s">
        <v>417</v>
      </c>
      <c r="K4" s="718"/>
    </row>
    <row r="5" spans="1:11" s="562" customFormat="1" ht="40.5" customHeight="1" x14ac:dyDescent="0.2">
      <c r="A5" s="560" t="s">
        <v>4</v>
      </c>
      <c r="B5" s="556" t="s">
        <v>418</v>
      </c>
      <c r="C5" s="556" t="s">
        <v>419</v>
      </c>
      <c r="D5" s="556" t="s">
        <v>420</v>
      </c>
      <c r="E5" s="556" t="s">
        <v>421</v>
      </c>
      <c r="F5" s="556" t="s">
        <v>422</v>
      </c>
      <c r="G5" s="556" t="s">
        <v>423</v>
      </c>
      <c r="H5" s="556" t="s">
        <v>406</v>
      </c>
      <c r="I5" s="556" t="s">
        <v>424</v>
      </c>
      <c r="J5" s="556" t="s">
        <v>425</v>
      </c>
      <c r="K5" s="561" t="s">
        <v>426</v>
      </c>
    </row>
    <row r="6" spans="1:11" s="3" customFormat="1" ht="17.25" customHeight="1" x14ac:dyDescent="0.2">
      <c r="A6" s="249" t="s">
        <v>120</v>
      </c>
      <c r="B6" s="211">
        <v>1755.8</v>
      </c>
      <c r="C6" s="211">
        <v>603</v>
      </c>
      <c r="D6" s="211">
        <v>7.3</v>
      </c>
      <c r="E6" s="211">
        <v>163.19999999999999</v>
      </c>
      <c r="F6" s="211">
        <v>46.719000000000001</v>
      </c>
      <c r="G6" s="211">
        <f>206.4+18.4+125.5</f>
        <v>350.3</v>
      </c>
      <c r="H6" s="211">
        <v>248.5</v>
      </c>
      <c r="I6" s="211">
        <v>8.891</v>
      </c>
      <c r="J6" s="211"/>
      <c r="K6" s="250"/>
    </row>
    <row r="7" spans="1:11" s="3" customFormat="1" ht="17.25" customHeight="1" x14ac:dyDescent="0.2">
      <c r="A7" s="240" t="s">
        <v>121</v>
      </c>
      <c r="B7" s="4">
        <v>1921.5</v>
      </c>
      <c r="C7" s="4">
        <v>598.4</v>
      </c>
      <c r="D7" s="4">
        <v>7.4</v>
      </c>
      <c r="E7" s="4">
        <v>163</v>
      </c>
      <c r="F7" s="4">
        <v>42.128999999999998</v>
      </c>
      <c r="G7" s="4">
        <f>152.2+19.6+226.9</f>
        <v>398.7</v>
      </c>
      <c r="H7" s="4">
        <v>366.6</v>
      </c>
      <c r="I7" s="4">
        <v>8.9</v>
      </c>
      <c r="J7" s="4"/>
      <c r="K7" s="241"/>
    </row>
    <row r="8" spans="1:11" s="3" customFormat="1" ht="17.25" customHeight="1" x14ac:dyDescent="0.2">
      <c r="A8" s="240" t="s">
        <v>122</v>
      </c>
      <c r="B8" s="4">
        <v>1865.3</v>
      </c>
      <c r="C8" s="4">
        <v>579.29999999999995</v>
      </c>
      <c r="D8" s="4">
        <v>7.6</v>
      </c>
      <c r="E8" s="4">
        <v>174.3</v>
      </c>
      <c r="F8" s="4">
        <v>49.162999999999997</v>
      </c>
      <c r="G8" s="4">
        <f>26.6+160.6+219.1</f>
        <v>406.29999999999995</v>
      </c>
      <c r="H8" s="4">
        <v>380</v>
      </c>
      <c r="I8" s="4"/>
      <c r="J8" s="4"/>
      <c r="K8" s="241"/>
    </row>
    <row r="9" spans="1:11" s="3" customFormat="1" ht="17.25" customHeight="1" x14ac:dyDescent="0.2">
      <c r="A9" s="251" t="s">
        <v>123</v>
      </c>
      <c r="B9" s="215">
        <v>1879.5</v>
      </c>
      <c r="C9" s="215">
        <v>608.20000000000005</v>
      </c>
      <c r="D9" s="215">
        <v>7.7</v>
      </c>
      <c r="E9" s="215">
        <v>172.1</v>
      </c>
      <c r="F9" s="220">
        <v>52.819000000000003</v>
      </c>
      <c r="G9" s="220">
        <f>152.2+19.6+229.1</f>
        <v>400.9</v>
      </c>
      <c r="H9" s="220">
        <v>371</v>
      </c>
      <c r="I9" s="220"/>
      <c r="J9" s="215"/>
      <c r="K9" s="252"/>
    </row>
    <row r="10" spans="1:11" s="3" customFormat="1" ht="17.25" customHeight="1" x14ac:dyDescent="0.2">
      <c r="A10" s="249" t="s">
        <v>124</v>
      </c>
      <c r="B10" s="211">
        <v>1988.2</v>
      </c>
      <c r="C10" s="211">
        <v>590.6</v>
      </c>
      <c r="D10" s="211">
        <v>58.3</v>
      </c>
      <c r="E10" s="211">
        <v>171.57835399999999</v>
      </c>
      <c r="F10" s="211">
        <v>57.588999999999999</v>
      </c>
      <c r="G10" s="211">
        <f>241.631319+16.169996+189.417104</f>
        <v>447.21841899999998</v>
      </c>
      <c r="H10" s="211">
        <v>375</v>
      </c>
      <c r="I10" s="211"/>
      <c r="J10" s="211"/>
      <c r="K10" s="250"/>
    </row>
    <row r="11" spans="1:11" s="3" customFormat="1" ht="17.25" customHeight="1" x14ac:dyDescent="0.2">
      <c r="A11" s="240" t="s">
        <v>125</v>
      </c>
      <c r="B11" s="4">
        <v>2043</v>
      </c>
      <c r="C11" s="4">
        <v>621.79999999999995</v>
      </c>
      <c r="D11" s="4">
        <v>75.099999999999994</v>
      </c>
      <c r="E11" s="4">
        <v>140.80000000000001</v>
      </c>
      <c r="F11" s="4">
        <v>63.965600000000002</v>
      </c>
      <c r="G11" s="4">
        <f>201.5+17.9+237.5</f>
        <v>456.9</v>
      </c>
      <c r="H11" s="4">
        <v>395.7</v>
      </c>
      <c r="I11" s="4"/>
      <c r="J11" s="4"/>
      <c r="K11" s="241"/>
    </row>
    <row r="12" spans="1:11" s="3" customFormat="1" ht="17.25" customHeight="1" x14ac:dyDescent="0.2">
      <c r="A12" s="240" t="s">
        <v>126</v>
      </c>
      <c r="B12" s="4">
        <v>2064.1</v>
      </c>
      <c r="C12" s="4">
        <v>643.1</v>
      </c>
      <c r="D12" s="4">
        <v>65.5</v>
      </c>
      <c r="E12" s="4">
        <v>148.30000000000001</v>
      </c>
      <c r="F12" s="4">
        <v>61.488999999999997</v>
      </c>
      <c r="G12" s="4">
        <f>226.4+19.9+179.3</f>
        <v>425.6</v>
      </c>
      <c r="H12" s="4">
        <v>411.8</v>
      </c>
      <c r="I12" s="4"/>
      <c r="J12" s="4"/>
      <c r="K12" s="241"/>
    </row>
    <row r="13" spans="1:11" s="3" customFormat="1" ht="17.25" customHeight="1" x14ac:dyDescent="0.2">
      <c r="A13" s="251" t="s">
        <v>127</v>
      </c>
      <c r="B13" s="215">
        <v>2138.8000000000002</v>
      </c>
      <c r="C13" s="215">
        <v>662.9</v>
      </c>
      <c r="D13" s="215">
        <v>52.4</v>
      </c>
      <c r="E13" s="215">
        <v>154.5</v>
      </c>
      <c r="F13" s="215">
        <v>80.239000000000004</v>
      </c>
      <c r="G13" s="215">
        <f>205.7+19.9+256.6</f>
        <v>482.20000000000005</v>
      </c>
      <c r="H13" s="215">
        <v>419.4</v>
      </c>
      <c r="I13" s="215"/>
      <c r="J13" s="215"/>
      <c r="K13" s="252"/>
    </row>
    <row r="14" spans="1:11" s="3" customFormat="1" ht="17.25" customHeight="1" x14ac:dyDescent="0.2">
      <c r="A14" s="249" t="s">
        <v>128</v>
      </c>
      <c r="B14" s="211">
        <v>2838.8</v>
      </c>
      <c r="C14" s="211">
        <v>695</v>
      </c>
      <c r="D14" s="211">
        <v>51.2</v>
      </c>
      <c r="E14" s="211">
        <v>163.4</v>
      </c>
      <c r="F14" s="211">
        <v>92.448999999999998</v>
      </c>
      <c r="G14" s="211">
        <f>791.443+17.349+227.488</f>
        <v>1036.28</v>
      </c>
      <c r="H14" s="211">
        <v>423.5</v>
      </c>
      <c r="I14" s="211">
        <v>511.2</v>
      </c>
      <c r="J14" s="211"/>
      <c r="K14" s="250"/>
    </row>
    <row r="15" spans="1:11" s="3" customFormat="1" ht="17.25" customHeight="1" x14ac:dyDescent="0.2">
      <c r="A15" s="240" t="s">
        <v>129</v>
      </c>
      <c r="B15" s="4">
        <v>2568.3000000000002</v>
      </c>
      <c r="C15" s="4">
        <v>733.5</v>
      </c>
      <c r="D15" s="4">
        <v>45.3</v>
      </c>
      <c r="E15" s="4">
        <v>140.5</v>
      </c>
      <c r="F15" s="4">
        <v>336.68299999999999</v>
      </c>
      <c r="G15" s="4">
        <f>264.552+15.558+344.988</f>
        <v>625.09799999999996</v>
      </c>
      <c r="H15" s="4">
        <v>430.1</v>
      </c>
      <c r="I15" s="4">
        <v>235.8</v>
      </c>
      <c r="J15" s="4"/>
      <c r="K15" s="241"/>
    </row>
    <row r="16" spans="1:11" s="3" customFormat="1" ht="17.25" customHeight="1" x14ac:dyDescent="0.2">
      <c r="A16" s="240" t="s">
        <v>130</v>
      </c>
      <c r="B16" s="4">
        <v>2384.3000000000002</v>
      </c>
      <c r="C16" s="4">
        <v>757.3</v>
      </c>
      <c r="D16" s="4">
        <v>39.700000000000003</v>
      </c>
      <c r="E16" s="4">
        <v>141.5</v>
      </c>
      <c r="F16" s="4">
        <v>108.598</v>
      </c>
      <c r="G16" s="4">
        <f>408.11+12.826+242.158</f>
        <v>663.09400000000005</v>
      </c>
      <c r="H16" s="4">
        <v>439</v>
      </c>
      <c r="I16" s="4"/>
      <c r="J16" s="4"/>
      <c r="K16" s="241"/>
    </row>
    <row r="17" spans="1:12" s="3" customFormat="1" ht="17.25" customHeight="1" x14ac:dyDescent="0.2">
      <c r="A17" s="251" t="s">
        <v>131</v>
      </c>
      <c r="B17" s="215">
        <v>2569.4</v>
      </c>
      <c r="C17" s="215">
        <v>767.3</v>
      </c>
      <c r="D17" s="215">
        <v>49.7</v>
      </c>
      <c r="E17" s="215">
        <v>145.5</v>
      </c>
      <c r="F17" s="215">
        <v>59.573</v>
      </c>
      <c r="G17" s="215">
        <f>349.392+12.019+531.874</f>
        <v>893.28500000000008</v>
      </c>
      <c r="H17" s="215">
        <v>358</v>
      </c>
      <c r="I17" s="215"/>
      <c r="J17" s="215"/>
      <c r="K17" s="252"/>
    </row>
    <row r="18" spans="1:12" s="3" customFormat="1" ht="17.25" customHeight="1" x14ac:dyDescent="0.2">
      <c r="A18" s="249" t="s">
        <v>132</v>
      </c>
      <c r="B18" s="211">
        <v>2687.3</v>
      </c>
      <c r="C18" s="211">
        <v>675.9</v>
      </c>
      <c r="D18" s="211">
        <v>53.9</v>
      </c>
      <c r="E18" s="211">
        <v>158</v>
      </c>
      <c r="F18" s="211">
        <v>315.82600000000002</v>
      </c>
      <c r="G18" s="211">
        <f>499.26+14.965+326.992</f>
        <v>841.2170000000001</v>
      </c>
      <c r="H18" s="211">
        <v>355.1</v>
      </c>
      <c r="I18" s="211">
        <v>195</v>
      </c>
      <c r="J18" s="211"/>
      <c r="K18" s="250"/>
    </row>
    <row r="19" spans="1:12" s="3" customFormat="1" ht="17.25" customHeight="1" x14ac:dyDescent="0.2">
      <c r="A19" s="240" t="s">
        <v>133</v>
      </c>
      <c r="B19" s="4">
        <v>2517.3000000000002</v>
      </c>
      <c r="C19" s="4">
        <v>703.9</v>
      </c>
      <c r="D19" s="4">
        <v>53.8</v>
      </c>
      <c r="E19" s="4">
        <v>160.1</v>
      </c>
      <c r="F19" s="4">
        <v>147.42699999999999</v>
      </c>
      <c r="G19" s="4">
        <f>315.48+13.939+495.411</f>
        <v>824.83</v>
      </c>
      <c r="H19" s="4">
        <v>369.8</v>
      </c>
      <c r="I19" s="4">
        <v>14.303000000000001</v>
      </c>
      <c r="J19" s="4"/>
      <c r="K19" s="241"/>
    </row>
    <row r="20" spans="1:12" s="3" customFormat="1" ht="17.25" customHeight="1" x14ac:dyDescent="0.2">
      <c r="A20" s="240" t="s">
        <v>134</v>
      </c>
      <c r="B20" s="4">
        <v>2686.3</v>
      </c>
      <c r="C20" s="4">
        <v>674.4</v>
      </c>
      <c r="D20" s="4">
        <v>53.7</v>
      </c>
      <c r="E20" s="4">
        <v>171.4</v>
      </c>
      <c r="F20" s="4">
        <v>140.017</v>
      </c>
      <c r="G20" s="4">
        <f>477.592+13.557+305.489</f>
        <v>796.63799999999992</v>
      </c>
      <c r="H20" s="4">
        <v>376.2</v>
      </c>
      <c r="I20" s="4">
        <v>5.7984</v>
      </c>
      <c r="J20" s="4"/>
      <c r="K20" s="241"/>
    </row>
    <row r="21" spans="1:12" s="3" customFormat="1" ht="17.25" customHeight="1" x14ac:dyDescent="0.2">
      <c r="A21" s="251" t="s">
        <v>135</v>
      </c>
      <c r="B21" s="215">
        <v>2531.9</v>
      </c>
      <c r="C21" s="215">
        <v>688.3</v>
      </c>
      <c r="D21" s="215">
        <v>84.2</v>
      </c>
      <c r="E21" s="215">
        <v>176.9</v>
      </c>
      <c r="F21" s="215">
        <v>128.68299999999999</v>
      </c>
      <c r="G21" s="215">
        <f>456.158+36.591+310.188</f>
        <v>802.93700000000001</v>
      </c>
      <c r="H21" s="215">
        <v>388.9</v>
      </c>
      <c r="I21" s="215">
        <v>7.2729999999999997</v>
      </c>
      <c r="J21" s="215"/>
      <c r="K21" s="252"/>
    </row>
    <row r="22" spans="1:12" s="3" customFormat="1" ht="17.25" customHeight="1" x14ac:dyDescent="0.2">
      <c r="A22" s="249" t="s">
        <v>313</v>
      </c>
      <c r="B22" s="211">
        <v>2455.5</v>
      </c>
      <c r="C22" s="211">
        <v>704.5</v>
      </c>
      <c r="D22" s="211">
        <v>84.4</v>
      </c>
      <c r="E22" s="211">
        <v>173.1</v>
      </c>
      <c r="F22" s="211">
        <v>108.54900000000001</v>
      </c>
      <c r="G22" s="211">
        <v>781.2</v>
      </c>
      <c r="H22" s="211">
        <v>394.1</v>
      </c>
      <c r="I22" s="211">
        <f t="shared" ref="I22:I32" si="0">J22+K22</f>
        <v>29.716999999999999</v>
      </c>
      <c r="J22" s="211">
        <v>29.716999999999999</v>
      </c>
      <c r="K22" s="250"/>
      <c r="L22" s="11"/>
    </row>
    <row r="23" spans="1:12" s="3" customFormat="1" ht="17.25" customHeight="1" x14ac:dyDescent="0.2">
      <c r="A23" s="240" t="s">
        <v>137</v>
      </c>
      <c r="B23" s="4">
        <v>2566.3000000000002</v>
      </c>
      <c r="C23" s="4">
        <v>761.3</v>
      </c>
      <c r="D23" s="4">
        <v>73.7</v>
      </c>
      <c r="E23" s="4">
        <v>176.3</v>
      </c>
      <c r="F23" s="4">
        <v>103.596</v>
      </c>
      <c r="G23" s="4">
        <v>765.2</v>
      </c>
      <c r="H23" s="4">
        <v>424.6</v>
      </c>
      <c r="I23" s="4">
        <f t="shared" si="0"/>
        <v>75.871000000000009</v>
      </c>
      <c r="J23" s="4">
        <v>69.492000000000004</v>
      </c>
      <c r="K23" s="241">
        <v>6.3789999999999996</v>
      </c>
    </row>
    <row r="24" spans="1:12" s="3" customFormat="1" ht="17.25" customHeight="1" x14ac:dyDescent="0.2">
      <c r="A24" s="240" t="s">
        <v>138</v>
      </c>
      <c r="B24" s="4">
        <v>2655.9</v>
      </c>
      <c r="C24" s="4">
        <v>744.2</v>
      </c>
      <c r="D24" s="4">
        <v>105</v>
      </c>
      <c r="E24" s="4">
        <v>173</v>
      </c>
      <c r="F24" s="10">
        <v>98.236000000000004</v>
      </c>
      <c r="G24" s="10">
        <v>795.3</v>
      </c>
      <c r="H24" s="10">
        <v>431</v>
      </c>
      <c r="I24" s="10">
        <f t="shared" si="0"/>
        <v>129.18799999999999</v>
      </c>
      <c r="J24" s="10">
        <v>120.779</v>
      </c>
      <c r="K24" s="243">
        <v>8.4090000000000007</v>
      </c>
    </row>
    <row r="25" spans="1:12" s="3" customFormat="1" ht="17.25" customHeight="1" x14ac:dyDescent="0.2">
      <c r="A25" s="251" t="s">
        <v>139</v>
      </c>
      <c r="B25" s="215">
        <v>2393.6999999999998</v>
      </c>
      <c r="C25" s="215">
        <v>751.8</v>
      </c>
      <c r="D25" s="215">
        <v>81.5</v>
      </c>
      <c r="E25" s="215">
        <v>162.69999999999999</v>
      </c>
      <c r="F25" s="215">
        <v>100.313</v>
      </c>
      <c r="G25" s="215">
        <v>708</v>
      </c>
      <c r="H25" s="215">
        <v>350.8</v>
      </c>
      <c r="I25" s="215">
        <f t="shared" si="0"/>
        <v>23.613</v>
      </c>
      <c r="J25" s="215">
        <v>19.613</v>
      </c>
      <c r="K25" s="252">
        <v>4</v>
      </c>
    </row>
    <row r="26" spans="1:12" s="3" customFormat="1" ht="17.25" customHeight="1" x14ac:dyDescent="0.2">
      <c r="A26" s="247" t="s">
        <v>140</v>
      </c>
      <c r="B26" s="209">
        <v>2519.9</v>
      </c>
      <c r="C26" s="209">
        <v>775.2</v>
      </c>
      <c r="D26" s="209">
        <v>90</v>
      </c>
      <c r="E26" s="209">
        <v>161.30000000000001</v>
      </c>
      <c r="F26" s="209">
        <v>118.456</v>
      </c>
      <c r="G26" s="209">
        <v>730.4</v>
      </c>
      <c r="H26" s="209">
        <v>360.9</v>
      </c>
      <c r="I26" s="209">
        <f t="shared" si="0"/>
        <v>51.134</v>
      </c>
      <c r="J26" s="209">
        <v>44.5</v>
      </c>
      <c r="K26" s="248">
        <v>6.6340000000000003</v>
      </c>
    </row>
    <row r="27" spans="1:12" s="9" customFormat="1" ht="17.25" customHeight="1" x14ac:dyDescent="0.2">
      <c r="A27" s="242" t="s">
        <v>141</v>
      </c>
      <c r="B27" s="10">
        <v>2515.1</v>
      </c>
      <c r="C27" s="10">
        <v>803.3</v>
      </c>
      <c r="D27" s="10">
        <v>95.2</v>
      </c>
      <c r="E27" s="10">
        <v>175.2</v>
      </c>
      <c r="F27" s="10">
        <v>110.684</v>
      </c>
      <c r="G27" s="10">
        <v>728.9</v>
      </c>
      <c r="H27" s="10">
        <v>364.75270499999999</v>
      </c>
      <c r="I27" s="10">
        <v>32.08</v>
      </c>
      <c r="J27" s="10">
        <v>22.452999999999999</v>
      </c>
      <c r="K27" s="243">
        <v>9.6050000000000004</v>
      </c>
    </row>
    <row r="28" spans="1:12" s="9" customFormat="1" ht="17.25" customHeight="1" x14ac:dyDescent="0.2">
      <c r="A28" s="242" t="s">
        <v>142</v>
      </c>
      <c r="B28" s="10">
        <v>2510.4070000000002</v>
      </c>
      <c r="C28" s="10">
        <v>806.9</v>
      </c>
      <c r="D28" s="10">
        <v>101.913</v>
      </c>
      <c r="E28" s="10">
        <v>161.34299999999999</v>
      </c>
      <c r="F28" s="10">
        <v>123.95099999999999</v>
      </c>
      <c r="G28" s="10">
        <v>746.05100000000004</v>
      </c>
      <c r="H28" s="10">
        <v>356.86599999999999</v>
      </c>
      <c r="I28" s="10">
        <f t="shared" si="0"/>
        <v>18.564</v>
      </c>
      <c r="J28" s="10">
        <v>11.516</v>
      </c>
      <c r="K28" s="243">
        <v>7.048</v>
      </c>
    </row>
    <row r="29" spans="1:12" s="62" customFormat="1" ht="17.25" customHeight="1" x14ac:dyDescent="0.2">
      <c r="A29" s="365" t="s">
        <v>143</v>
      </c>
      <c r="B29" s="220">
        <v>2625.6546429999999</v>
      </c>
      <c r="C29" s="220">
        <v>836.04792499999996</v>
      </c>
      <c r="D29" s="220">
        <v>134.446032</v>
      </c>
      <c r="E29" s="220">
        <v>171.56026600000001</v>
      </c>
      <c r="F29" s="220">
        <v>128.09985599999999</v>
      </c>
      <c r="G29" s="220">
        <v>740.28286200000002</v>
      </c>
      <c r="H29" s="220">
        <v>369.67685999999998</v>
      </c>
      <c r="I29" s="220">
        <f t="shared" si="0"/>
        <v>43.258128999999997</v>
      </c>
      <c r="J29" s="220">
        <v>38.150129</v>
      </c>
      <c r="K29" s="364">
        <v>5.1079999999999997</v>
      </c>
    </row>
    <row r="30" spans="1:12" s="62" customFormat="1" ht="17.25" customHeight="1" x14ac:dyDescent="0.2">
      <c r="A30" s="601" t="s">
        <v>441</v>
      </c>
      <c r="B30" s="156">
        <v>2914.5693620000002</v>
      </c>
      <c r="C30" s="156">
        <v>819.23738700000001</v>
      </c>
      <c r="D30" s="156">
        <v>176.568409</v>
      </c>
      <c r="E30" s="156">
        <v>226.69435200000001</v>
      </c>
      <c r="F30" s="156">
        <v>127.513544</v>
      </c>
      <c r="G30" s="156">
        <v>929.96764099999996</v>
      </c>
      <c r="H30" s="156">
        <v>378.56676700000003</v>
      </c>
      <c r="I30" s="156">
        <f t="shared" ref="I30:I31" si="1">J30+K30</f>
        <v>61.866125999999994</v>
      </c>
      <c r="J30" s="156">
        <v>56.436228999999997</v>
      </c>
      <c r="K30" s="626">
        <v>5.4298970000000004</v>
      </c>
    </row>
    <row r="31" spans="1:12" s="62" customFormat="1" ht="17.25" customHeight="1" x14ac:dyDescent="0.2">
      <c r="A31" s="604" t="s">
        <v>144</v>
      </c>
      <c r="B31" s="196">
        <v>2675.6210000000001</v>
      </c>
      <c r="C31" s="196">
        <v>814.33</v>
      </c>
      <c r="D31" s="196">
        <v>166.16800000000001</v>
      </c>
      <c r="E31" s="196">
        <v>176.74299999999999</v>
      </c>
      <c r="F31" s="196">
        <v>108.812</v>
      </c>
      <c r="G31" s="196">
        <v>757.23900000000003</v>
      </c>
      <c r="H31" s="196">
        <v>378.584</v>
      </c>
      <c r="I31" s="196">
        <f t="shared" si="1"/>
        <v>32.784999999999997</v>
      </c>
      <c r="J31" s="196"/>
      <c r="K31" s="627">
        <v>32.784999999999997</v>
      </c>
    </row>
    <row r="32" spans="1:12" s="62" customFormat="1" ht="17.25" customHeight="1" x14ac:dyDescent="0.2">
      <c r="A32" s="602" t="s">
        <v>442</v>
      </c>
      <c r="B32" s="628">
        <v>2803.1179999999999</v>
      </c>
      <c r="C32" s="628">
        <v>879.19</v>
      </c>
      <c r="D32" s="628">
        <v>129.11500000000001</v>
      </c>
      <c r="E32" s="628">
        <v>192.976</v>
      </c>
      <c r="F32" s="628">
        <v>122.485</v>
      </c>
      <c r="G32" s="628">
        <v>823.36099999999999</v>
      </c>
      <c r="H32" s="628">
        <v>387.322</v>
      </c>
      <c r="I32" s="628">
        <f t="shared" si="0"/>
        <v>27.858000000000001</v>
      </c>
      <c r="J32" s="628"/>
      <c r="K32" s="629">
        <v>27.858000000000001</v>
      </c>
    </row>
    <row r="33" spans="1:12" s="62" customFormat="1" ht="3.75" customHeight="1" x14ac:dyDescent="0.2">
      <c r="A33" s="536"/>
      <c r="B33" s="196"/>
      <c r="C33" s="196"/>
      <c r="D33" s="196"/>
      <c r="E33" s="196"/>
      <c r="F33" s="196"/>
      <c r="G33" s="196"/>
      <c r="H33" s="196"/>
      <c r="I33" s="196"/>
      <c r="J33" s="196"/>
      <c r="K33" s="196"/>
    </row>
    <row r="34" spans="1:12" ht="15" customHeight="1" x14ac:dyDescent="0.2">
      <c r="A34" s="720" t="s">
        <v>320</v>
      </c>
      <c r="B34" s="721"/>
      <c r="C34" s="721"/>
      <c r="D34" s="721"/>
      <c r="E34" s="721"/>
      <c r="F34" s="721"/>
      <c r="G34" s="721"/>
      <c r="H34" s="721"/>
      <c r="I34" s="721"/>
      <c r="J34" s="721"/>
      <c r="K34" s="724"/>
      <c r="L34" s="711"/>
    </row>
    <row r="35" spans="1:12" ht="15" customHeight="1" x14ac:dyDescent="0.2">
      <c r="A35" s="720" t="s">
        <v>321</v>
      </c>
      <c r="B35" s="711"/>
      <c r="C35" s="711"/>
      <c r="D35" s="711"/>
      <c r="E35" s="711"/>
      <c r="F35" s="711"/>
      <c r="G35" s="711"/>
      <c r="H35" s="711"/>
      <c r="I35" s="711"/>
      <c r="J35" s="711"/>
      <c r="K35" s="711"/>
      <c r="L35" s="711"/>
    </row>
    <row r="36" spans="1:12" ht="55.5" customHeight="1" x14ac:dyDescent="0.2">
      <c r="A36" s="723" t="s">
        <v>416</v>
      </c>
      <c r="B36" s="722"/>
      <c r="C36" s="722"/>
      <c r="D36" s="722"/>
      <c r="E36" s="722"/>
      <c r="F36" s="722"/>
      <c r="G36" s="722"/>
      <c r="H36" s="722"/>
      <c r="I36" s="722"/>
      <c r="J36" s="722"/>
      <c r="K36" s="722"/>
      <c r="L36" s="707"/>
    </row>
    <row r="37" spans="1:12" ht="15" customHeight="1" x14ac:dyDescent="0.2">
      <c r="A37" s="716" t="s">
        <v>457</v>
      </c>
      <c r="B37" s="711"/>
      <c r="C37" s="711"/>
      <c r="D37" s="711"/>
      <c r="E37" s="711"/>
      <c r="F37" s="711"/>
      <c r="G37" s="711"/>
      <c r="H37" s="711"/>
      <c r="I37" s="711"/>
      <c r="J37" s="711"/>
      <c r="K37" s="711"/>
      <c r="L37" s="711"/>
    </row>
    <row r="38" spans="1:12" ht="15" x14ac:dyDescent="0.2">
      <c r="A38" s="714" t="s">
        <v>415</v>
      </c>
      <c r="B38" s="707"/>
      <c r="C38" s="707"/>
      <c r="D38" s="707"/>
      <c r="E38" s="707"/>
      <c r="F38" s="707"/>
      <c r="G38" s="707"/>
      <c r="H38" s="707"/>
      <c r="I38" s="707"/>
      <c r="J38" s="707"/>
      <c r="K38" s="707"/>
      <c r="L38" s="707"/>
    </row>
  </sheetData>
  <mergeCells count="6">
    <mergeCell ref="A37:L37"/>
    <mergeCell ref="A38:L38"/>
    <mergeCell ref="J4:K4"/>
    <mergeCell ref="A36:L36"/>
    <mergeCell ref="A35:L35"/>
    <mergeCell ref="A34:L34"/>
  </mergeCells>
  <pageMargins left="0.19685039370078741" right="0.19685039370078741" top="0.39370078740157483" bottom="0.59055118110236227" header="0.31496062992125984" footer="0.31496062992125984"/>
  <pageSetup paperSize="8" fitToHeight="0" orientation="portrait" r:id="rId1"/>
  <headerFooter>
    <oddFooter>&amp;L&amp;"Arial Narrow,Standard"DFG, 11. Oktober 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Normal="100" zoomScaleSheetLayoutView="100" workbookViewId="0">
      <pane ySplit="5" topLeftCell="A6" activePane="bottomLeft" state="frozen"/>
      <selection pane="bottomLeft"/>
    </sheetView>
  </sheetViews>
  <sheetFormatPr baseColWidth="10" defaultColWidth="11.42578125" defaultRowHeight="12.75" x14ac:dyDescent="0.2"/>
  <cols>
    <col min="1" max="1" width="7" style="2" customWidth="1"/>
    <col min="2" max="8" width="9.7109375" style="2" customWidth="1"/>
    <col min="9" max="9" width="71.85546875" style="2" customWidth="1"/>
    <col min="10" max="16384" width="11.42578125" style="2"/>
  </cols>
  <sheetData>
    <row r="1" spans="1:8" ht="15.75" customHeight="1" x14ac:dyDescent="0.25">
      <c r="A1" s="1" t="s">
        <v>14</v>
      </c>
    </row>
    <row r="2" spans="1:8" ht="12.75" customHeight="1" x14ac:dyDescent="0.2">
      <c r="A2" s="2" t="s">
        <v>314</v>
      </c>
    </row>
    <row r="3" spans="1:8" ht="12.75" customHeight="1" x14ac:dyDescent="0.2">
      <c r="H3" s="7" t="s">
        <v>15</v>
      </c>
    </row>
    <row r="4" spans="1:8" ht="15" x14ac:dyDescent="0.2">
      <c r="A4" s="256"/>
      <c r="B4" s="725" t="s">
        <v>332</v>
      </c>
      <c r="C4" s="726"/>
      <c r="D4" s="727"/>
      <c r="E4" s="530" t="s">
        <v>333</v>
      </c>
      <c r="F4" s="725" t="s">
        <v>31</v>
      </c>
      <c r="G4" s="728"/>
      <c r="H4" s="729" t="s">
        <v>83</v>
      </c>
    </row>
    <row r="5" spans="1:8" s="14" customFormat="1" ht="39" customHeight="1" x14ac:dyDescent="0.2">
      <c r="A5" s="257" t="s">
        <v>4</v>
      </c>
      <c r="B5" s="200" t="s">
        <v>322</v>
      </c>
      <c r="C5" s="191" t="s">
        <v>323</v>
      </c>
      <c r="D5" s="201" t="s">
        <v>1</v>
      </c>
      <c r="E5" s="202" t="s">
        <v>324</v>
      </c>
      <c r="F5" s="200" t="s">
        <v>32</v>
      </c>
      <c r="G5" s="203" t="s">
        <v>34</v>
      </c>
      <c r="H5" s="730"/>
    </row>
    <row r="6" spans="1:8" s="15" customFormat="1" ht="17.25" customHeight="1" x14ac:dyDescent="0.2">
      <c r="A6" s="258">
        <v>1997</v>
      </c>
      <c r="B6" s="184">
        <v>327.10000000000002</v>
      </c>
      <c r="C6" s="211">
        <v>324.39999999999998</v>
      </c>
      <c r="D6" s="212">
        <f>C6-B6</f>
        <v>-2.7000000000000455</v>
      </c>
      <c r="E6" s="371">
        <v>-21.1</v>
      </c>
      <c r="F6" s="184">
        <f t="shared" ref="F6:F27" si="0">D6-E6</f>
        <v>18.399999999999956</v>
      </c>
      <c r="G6" s="213">
        <f t="shared" ref="G6:G27" si="1">F6/B6</f>
        <v>5.6251910730663268E-2</v>
      </c>
      <c r="H6" s="230">
        <v>-12.698</v>
      </c>
    </row>
    <row r="7" spans="1:8" s="15" customFormat="1" ht="17.25" customHeight="1" x14ac:dyDescent="0.2">
      <c r="A7" s="259">
        <v>1998</v>
      </c>
      <c r="B7" s="68">
        <v>341.1</v>
      </c>
      <c r="C7" s="4">
        <v>340.3</v>
      </c>
      <c r="D7" s="69">
        <f t="shared" ref="D7:D27" si="2">C7-B7</f>
        <v>-0.80000000000001137</v>
      </c>
      <c r="E7" s="372">
        <v>-22.9</v>
      </c>
      <c r="F7" s="68">
        <f t="shared" si="0"/>
        <v>22.099999999999987</v>
      </c>
      <c r="G7" s="74">
        <f t="shared" si="1"/>
        <v>6.4790384051597733E-2</v>
      </c>
      <c r="H7" s="232">
        <f t="shared" ref="H7:H13" si="3">H6+D7</f>
        <v>-13.498000000000012</v>
      </c>
    </row>
    <row r="8" spans="1:8" s="15" customFormat="1" ht="17.25" customHeight="1" x14ac:dyDescent="0.2">
      <c r="A8" s="259">
        <v>1999</v>
      </c>
      <c r="B8" s="68">
        <v>368</v>
      </c>
      <c r="C8" s="4">
        <v>351.5</v>
      </c>
      <c r="D8" s="69">
        <f t="shared" si="2"/>
        <v>-16.5</v>
      </c>
      <c r="E8" s="372">
        <v>-20.399999999999999</v>
      </c>
      <c r="F8" s="68">
        <f t="shared" si="0"/>
        <v>3.8999999999999986</v>
      </c>
      <c r="G8" s="74">
        <f t="shared" si="1"/>
        <v>1.0597826086956518E-2</v>
      </c>
      <c r="H8" s="232">
        <f t="shared" si="3"/>
        <v>-29.998000000000012</v>
      </c>
    </row>
    <row r="9" spans="1:8" s="15" customFormat="1" ht="17.25" customHeight="1" x14ac:dyDescent="0.2">
      <c r="A9" s="260">
        <v>2000</v>
      </c>
      <c r="B9" s="214">
        <v>339.9</v>
      </c>
      <c r="C9" s="215">
        <v>328.5</v>
      </c>
      <c r="D9" s="216">
        <f t="shared" si="2"/>
        <v>-11.399999999999977</v>
      </c>
      <c r="E9" s="373">
        <v>-21.1</v>
      </c>
      <c r="F9" s="214">
        <f t="shared" si="0"/>
        <v>9.7000000000000242</v>
      </c>
      <c r="G9" s="217">
        <f t="shared" si="1"/>
        <v>2.8537805236834437E-2</v>
      </c>
      <c r="H9" s="234">
        <f>H8+D9</f>
        <v>-41.397999999999989</v>
      </c>
    </row>
    <row r="10" spans="1:8" s="15" customFormat="1" ht="17.25" customHeight="1" x14ac:dyDescent="0.2">
      <c r="A10" s="258">
        <v>2001</v>
      </c>
      <c r="B10" s="184">
        <v>355</v>
      </c>
      <c r="C10" s="211">
        <v>342.7</v>
      </c>
      <c r="D10" s="212">
        <f t="shared" si="2"/>
        <v>-12.300000000000011</v>
      </c>
      <c r="E10" s="371">
        <v>-17.3</v>
      </c>
      <c r="F10" s="184">
        <f t="shared" si="0"/>
        <v>4.9999999999999893</v>
      </c>
      <c r="G10" s="213">
        <f t="shared" si="1"/>
        <v>1.4084507042253492E-2</v>
      </c>
      <c r="H10" s="230">
        <f t="shared" si="3"/>
        <v>-53.698</v>
      </c>
    </row>
    <row r="11" spans="1:8" s="15" customFormat="1" ht="17.25" customHeight="1" x14ac:dyDescent="0.2">
      <c r="A11" s="259">
        <v>2002</v>
      </c>
      <c r="B11" s="68">
        <v>387.423</v>
      </c>
      <c r="C11" s="4">
        <v>381.67399999999998</v>
      </c>
      <c r="D11" s="69">
        <f t="shared" si="2"/>
        <v>-5.7490000000000236</v>
      </c>
      <c r="E11" s="372">
        <v>-27.8</v>
      </c>
      <c r="F11" s="68">
        <f t="shared" si="0"/>
        <v>22.050999999999977</v>
      </c>
      <c r="G11" s="74">
        <f t="shared" si="1"/>
        <v>5.6917116433458974E-2</v>
      </c>
      <c r="H11" s="232">
        <f t="shared" si="3"/>
        <v>-59.447000000000024</v>
      </c>
    </row>
    <row r="12" spans="1:8" s="15" customFormat="1" ht="17.25" customHeight="1" x14ac:dyDescent="0.2">
      <c r="A12" s="259">
        <v>2003</v>
      </c>
      <c r="B12" s="68">
        <v>377.71699999999998</v>
      </c>
      <c r="C12" s="4">
        <v>360.88799999999998</v>
      </c>
      <c r="D12" s="69">
        <f t="shared" si="2"/>
        <v>-16.829000000000008</v>
      </c>
      <c r="E12" s="372">
        <v>-23.1</v>
      </c>
      <c r="F12" s="68">
        <f t="shared" si="0"/>
        <v>6.2709999999999937</v>
      </c>
      <c r="G12" s="74">
        <f t="shared" si="1"/>
        <v>1.6602376911814914E-2</v>
      </c>
      <c r="H12" s="232">
        <f t="shared" si="3"/>
        <v>-76.276000000000039</v>
      </c>
    </row>
    <row r="13" spans="1:8" s="15" customFormat="1" ht="17.25" customHeight="1" x14ac:dyDescent="0.2">
      <c r="A13" s="260">
        <v>2004</v>
      </c>
      <c r="B13" s="214">
        <v>386.5</v>
      </c>
      <c r="C13" s="215">
        <v>386.5</v>
      </c>
      <c r="D13" s="216">
        <f t="shared" si="2"/>
        <v>0</v>
      </c>
      <c r="E13" s="373">
        <v>-23.9</v>
      </c>
      <c r="F13" s="214">
        <f t="shared" si="0"/>
        <v>23.9</v>
      </c>
      <c r="G13" s="217">
        <f t="shared" si="1"/>
        <v>6.1836998706338936E-2</v>
      </c>
      <c r="H13" s="234">
        <f t="shared" si="3"/>
        <v>-76.276000000000039</v>
      </c>
    </row>
    <row r="14" spans="1:8" s="15" customFormat="1" ht="17.25" customHeight="1" x14ac:dyDescent="0.2">
      <c r="A14" s="258" t="s">
        <v>325</v>
      </c>
      <c r="B14" s="184">
        <v>376.09800000000001</v>
      </c>
      <c r="C14" s="211">
        <v>367.34100000000001</v>
      </c>
      <c r="D14" s="212">
        <f t="shared" si="2"/>
        <v>-8.757000000000005</v>
      </c>
      <c r="E14" s="371">
        <v>-18.635999999999999</v>
      </c>
      <c r="F14" s="184">
        <f t="shared" si="0"/>
        <v>9.8789999999999942</v>
      </c>
      <c r="G14" s="213">
        <f t="shared" si="1"/>
        <v>2.6267089960595361E-2</v>
      </c>
      <c r="H14" s="230">
        <f>H13+D14+85</f>
        <v>-3.3000000000043883E-2</v>
      </c>
    </row>
    <row r="15" spans="1:8" s="15" customFormat="1" ht="17.25" customHeight="1" x14ac:dyDescent="0.2">
      <c r="A15" s="259">
        <v>2006</v>
      </c>
      <c r="B15" s="68">
        <v>347.1</v>
      </c>
      <c r="C15" s="4">
        <v>350.7</v>
      </c>
      <c r="D15" s="69">
        <f t="shared" si="2"/>
        <v>3.5999999999999659</v>
      </c>
      <c r="E15" s="372">
        <v>-15.6</v>
      </c>
      <c r="F15" s="68">
        <f t="shared" si="0"/>
        <v>19.199999999999967</v>
      </c>
      <c r="G15" s="74">
        <f t="shared" si="1"/>
        <v>5.5315471045808029E-2</v>
      </c>
      <c r="H15" s="232">
        <f t="shared" ref="H15:H20" si="4">H14+D15</f>
        <v>3.566999999999922</v>
      </c>
    </row>
    <row r="16" spans="1:8" s="15" customFormat="1" ht="17.25" customHeight="1" x14ac:dyDescent="0.2">
      <c r="A16" s="259">
        <v>2007</v>
      </c>
      <c r="B16" s="68">
        <v>311.95800000000003</v>
      </c>
      <c r="C16" s="4">
        <v>317.31599999999997</v>
      </c>
      <c r="D16" s="69">
        <f t="shared" si="2"/>
        <v>5.3579999999999472</v>
      </c>
      <c r="E16" s="372">
        <v>-17.864000000000001</v>
      </c>
      <c r="F16" s="68">
        <f t="shared" si="0"/>
        <v>23.221999999999948</v>
      </c>
      <c r="G16" s="74">
        <f t="shared" si="1"/>
        <v>7.4439507882471181E-2</v>
      </c>
      <c r="H16" s="232">
        <f t="shared" si="4"/>
        <v>8.9249999999998693</v>
      </c>
    </row>
    <row r="17" spans="1:8" s="15" customFormat="1" ht="17.25" customHeight="1" x14ac:dyDescent="0.2">
      <c r="A17" s="260">
        <v>2008</v>
      </c>
      <c r="B17" s="214">
        <v>350.7</v>
      </c>
      <c r="C17" s="215">
        <v>389.4</v>
      </c>
      <c r="D17" s="216">
        <f t="shared" si="2"/>
        <v>38.699999999999989</v>
      </c>
      <c r="E17" s="373">
        <v>1</v>
      </c>
      <c r="F17" s="214">
        <f t="shared" si="0"/>
        <v>37.699999999999989</v>
      </c>
      <c r="G17" s="217">
        <f t="shared" si="1"/>
        <v>0.10749928714000567</v>
      </c>
      <c r="H17" s="234">
        <f t="shared" si="4"/>
        <v>47.624999999999858</v>
      </c>
    </row>
    <row r="18" spans="1:8" s="15" customFormat="1" ht="17.25" customHeight="1" x14ac:dyDescent="0.2">
      <c r="A18" s="258">
        <v>2009</v>
      </c>
      <c r="B18" s="184">
        <v>333.947</v>
      </c>
      <c r="C18" s="211">
        <v>341.255</v>
      </c>
      <c r="D18" s="212">
        <f t="shared" si="2"/>
        <v>7.3079999999999927</v>
      </c>
      <c r="E18" s="371">
        <v>-10.944000000000001</v>
      </c>
      <c r="F18" s="184">
        <f t="shared" si="0"/>
        <v>18.251999999999995</v>
      </c>
      <c r="G18" s="213">
        <f t="shared" si="1"/>
        <v>5.4655379446439091E-2</v>
      </c>
      <c r="H18" s="230">
        <f t="shared" si="4"/>
        <v>54.932999999999851</v>
      </c>
    </row>
    <row r="19" spans="1:8" s="15" customFormat="1" ht="17.25" customHeight="1" x14ac:dyDescent="0.2">
      <c r="A19" s="259">
        <v>2010</v>
      </c>
      <c r="B19" s="68">
        <v>346.3</v>
      </c>
      <c r="C19" s="4">
        <v>360.9</v>
      </c>
      <c r="D19" s="69">
        <f t="shared" si="2"/>
        <v>14.599999999999966</v>
      </c>
      <c r="E19" s="529">
        <v>-15</v>
      </c>
      <c r="F19" s="72">
        <f t="shared" si="0"/>
        <v>29.599999999999966</v>
      </c>
      <c r="G19" s="75">
        <f t="shared" si="1"/>
        <v>8.5475021657522285E-2</v>
      </c>
      <c r="H19" s="232">
        <f t="shared" si="4"/>
        <v>69.532999999999817</v>
      </c>
    </row>
    <row r="20" spans="1:8" s="15" customFormat="1" ht="17.25" customHeight="1" x14ac:dyDescent="0.2">
      <c r="A20" s="259">
        <v>2011</v>
      </c>
      <c r="B20" s="68">
        <v>324.012</v>
      </c>
      <c r="C20" s="4">
        <v>336.55399999999997</v>
      </c>
      <c r="D20" s="69">
        <f t="shared" si="2"/>
        <v>12.541999999999973</v>
      </c>
      <c r="E20" s="372">
        <v>-14.6</v>
      </c>
      <c r="F20" s="68">
        <f t="shared" si="0"/>
        <v>27.141999999999975</v>
      </c>
      <c r="G20" s="74">
        <f t="shared" si="1"/>
        <v>8.3768502401145556E-2</v>
      </c>
      <c r="H20" s="232">
        <f t="shared" si="4"/>
        <v>82.07499999999979</v>
      </c>
    </row>
    <row r="21" spans="1:8" s="15" customFormat="1" ht="17.25" customHeight="1" x14ac:dyDescent="0.2">
      <c r="A21" s="260" t="s">
        <v>326</v>
      </c>
      <c r="B21" s="214">
        <v>320.7</v>
      </c>
      <c r="C21" s="215">
        <v>329.6</v>
      </c>
      <c r="D21" s="216">
        <f t="shared" si="2"/>
        <v>8.9000000000000341</v>
      </c>
      <c r="E21" s="373">
        <v>-16.100000000000001</v>
      </c>
      <c r="F21" s="214">
        <f t="shared" si="0"/>
        <v>25.000000000000036</v>
      </c>
      <c r="G21" s="217">
        <f t="shared" si="1"/>
        <v>7.7954474586841405E-2</v>
      </c>
      <c r="H21" s="234">
        <f>H20+D21-3</f>
        <v>87.974999999999824</v>
      </c>
    </row>
    <row r="22" spans="1:8" s="15" customFormat="1" ht="17.25" customHeight="1" x14ac:dyDescent="0.2">
      <c r="A22" s="258">
        <v>2013</v>
      </c>
      <c r="B22" s="184">
        <v>339.9</v>
      </c>
      <c r="C22" s="211">
        <v>341.5</v>
      </c>
      <c r="D22" s="212">
        <f t="shared" si="2"/>
        <v>1.6000000000000227</v>
      </c>
      <c r="E22" s="371">
        <v>-18.600000000000001</v>
      </c>
      <c r="F22" s="184">
        <f t="shared" si="0"/>
        <v>20.200000000000024</v>
      </c>
      <c r="G22" s="213">
        <f t="shared" si="1"/>
        <v>5.9429243895263391E-2</v>
      </c>
      <c r="H22" s="230">
        <f>H21+D22</f>
        <v>89.574999999999847</v>
      </c>
    </row>
    <row r="23" spans="1:8" s="15" customFormat="1" ht="17.25" customHeight="1" x14ac:dyDescent="0.2">
      <c r="A23" s="259">
        <v>2014</v>
      </c>
      <c r="B23" s="68">
        <v>340.9</v>
      </c>
      <c r="C23" s="4">
        <v>352.3</v>
      </c>
      <c r="D23" s="69">
        <f t="shared" si="2"/>
        <v>11.400000000000034</v>
      </c>
      <c r="E23" s="372">
        <v>-20</v>
      </c>
      <c r="F23" s="68">
        <f t="shared" si="0"/>
        <v>31.400000000000034</v>
      </c>
      <c r="G23" s="74">
        <f t="shared" si="1"/>
        <v>9.2109122909944371E-2</v>
      </c>
      <c r="H23" s="232">
        <f>H22+D23</f>
        <v>100.97499999999988</v>
      </c>
    </row>
    <row r="24" spans="1:8" s="15" customFormat="1" ht="17.25" customHeight="1" x14ac:dyDescent="0.2">
      <c r="A24" s="259">
        <v>2015</v>
      </c>
      <c r="B24" s="68">
        <v>328.433494</v>
      </c>
      <c r="C24" s="4">
        <v>331.799893</v>
      </c>
      <c r="D24" s="69">
        <f t="shared" si="2"/>
        <v>3.3663990000000013</v>
      </c>
      <c r="E24" s="372">
        <v>-19.8</v>
      </c>
      <c r="F24" s="68">
        <f t="shared" si="0"/>
        <v>23.166399000000002</v>
      </c>
      <c r="G24" s="74">
        <f t="shared" si="1"/>
        <v>7.053604283124669E-2</v>
      </c>
      <c r="H24" s="232">
        <f>H23+D24</f>
        <v>104.34139899999988</v>
      </c>
    </row>
    <row r="25" spans="1:8" s="15" customFormat="1" ht="17.25" customHeight="1" x14ac:dyDescent="0.2">
      <c r="A25" s="260" t="s">
        <v>327</v>
      </c>
      <c r="B25" s="214">
        <v>327.54234200000002</v>
      </c>
      <c r="C25" s="215">
        <v>319.087783</v>
      </c>
      <c r="D25" s="216">
        <f t="shared" si="2"/>
        <v>-8.4545590000000175</v>
      </c>
      <c r="E25" s="373">
        <v>-19.899999999999999</v>
      </c>
      <c r="F25" s="214">
        <f t="shared" si="0"/>
        <v>11.445440999999981</v>
      </c>
      <c r="G25" s="217">
        <f t="shared" si="1"/>
        <v>3.4943393669695323E-2</v>
      </c>
      <c r="H25" s="234">
        <f>H24+D25+4.1</f>
        <v>99.986839999999859</v>
      </c>
    </row>
    <row r="26" spans="1:8" s="16" customFormat="1" ht="17.25" customHeight="1" x14ac:dyDescent="0.2">
      <c r="A26" s="261">
        <v>2017</v>
      </c>
      <c r="B26" s="204">
        <v>333.8</v>
      </c>
      <c r="C26" s="205">
        <v>333.8</v>
      </c>
      <c r="D26" s="206">
        <f t="shared" si="2"/>
        <v>0</v>
      </c>
      <c r="E26" s="374">
        <v>-20</v>
      </c>
      <c r="F26" s="204">
        <f t="shared" si="0"/>
        <v>20</v>
      </c>
      <c r="G26" s="207">
        <f t="shared" si="1"/>
        <v>5.9916117435590173E-2</v>
      </c>
      <c r="H26" s="262">
        <f>H25+D26</f>
        <v>99.986839999999859</v>
      </c>
    </row>
    <row r="27" spans="1:8" s="16" customFormat="1" ht="17.25" customHeight="1" x14ac:dyDescent="0.2">
      <c r="A27" s="263">
        <v>2018</v>
      </c>
      <c r="B27" s="72">
        <v>311.09550999999999</v>
      </c>
      <c r="C27" s="10">
        <v>311.09550999999999</v>
      </c>
      <c r="D27" s="73">
        <f t="shared" si="2"/>
        <v>0</v>
      </c>
      <c r="E27" s="372">
        <v>-19.899999999999999</v>
      </c>
      <c r="F27" s="72">
        <f t="shared" si="0"/>
        <v>19.899999999999999</v>
      </c>
      <c r="G27" s="75">
        <f t="shared" si="1"/>
        <v>6.3967493455627175E-2</v>
      </c>
      <c r="H27" s="264">
        <f>H26+D27</f>
        <v>99.986839999999859</v>
      </c>
    </row>
    <row r="28" spans="1:8" s="16" customFormat="1" ht="17.25" customHeight="1" x14ac:dyDescent="0.2">
      <c r="A28" s="263">
        <v>2019</v>
      </c>
      <c r="B28" s="72">
        <v>303.81456500000002</v>
      </c>
      <c r="C28" s="10">
        <v>303.81456500000002</v>
      </c>
      <c r="D28" s="73">
        <f t="shared" ref="D28:D30" si="5">C28-B28</f>
        <v>0</v>
      </c>
      <c r="E28" s="372">
        <v>-19.78</v>
      </c>
      <c r="F28" s="72">
        <f t="shared" ref="F28:F30" si="6">D28-E28</f>
        <v>19.78</v>
      </c>
      <c r="G28" s="75">
        <f t="shared" ref="G28:G29" si="7">F28/B28</f>
        <v>6.5105502759553346E-2</v>
      </c>
      <c r="H28" s="264">
        <f>H27+D28</f>
        <v>99.986839999999859</v>
      </c>
    </row>
    <row r="29" spans="1:8" s="15" customFormat="1" ht="17.25" customHeight="1" x14ac:dyDescent="0.2">
      <c r="A29" s="366">
        <v>2020</v>
      </c>
      <c r="B29" s="367">
        <v>299.38545399999998</v>
      </c>
      <c r="C29" s="220">
        <v>299.38545399999998</v>
      </c>
      <c r="D29" s="368">
        <f t="shared" si="5"/>
        <v>0</v>
      </c>
      <c r="E29" s="373">
        <v>-19.96</v>
      </c>
      <c r="F29" s="367">
        <f t="shared" si="6"/>
        <v>19.96</v>
      </c>
      <c r="G29" s="369">
        <f t="shared" si="7"/>
        <v>6.6669905746322602E-2</v>
      </c>
      <c r="H29" s="370">
        <f>H28+D29</f>
        <v>99.986839999999859</v>
      </c>
    </row>
    <row r="30" spans="1:8" s="15" customFormat="1" ht="17.25" customHeight="1" x14ac:dyDescent="0.2">
      <c r="A30" s="609">
        <v>2021</v>
      </c>
      <c r="B30" s="155">
        <v>302.66880099999997</v>
      </c>
      <c r="C30" s="156">
        <v>302.66880099999997</v>
      </c>
      <c r="D30" s="157">
        <f t="shared" si="5"/>
        <v>0</v>
      </c>
      <c r="E30" s="372">
        <v>-19.975000000000001</v>
      </c>
      <c r="F30" s="155">
        <f t="shared" si="6"/>
        <v>19.975000000000001</v>
      </c>
      <c r="G30" s="159">
        <f>F30/B30</f>
        <v>6.5996230645523332E-2</v>
      </c>
      <c r="H30" s="630">
        <f>H29+D30</f>
        <v>99.986839999999859</v>
      </c>
    </row>
    <row r="31" spans="1:8" s="15" customFormat="1" ht="17.25" customHeight="1" x14ac:dyDescent="0.2">
      <c r="A31" s="605">
        <v>2022</v>
      </c>
      <c r="B31" s="606"/>
      <c r="C31" s="192"/>
      <c r="D31" s="607"/>
      <c r="E31" s="372">
        <v>-19.89</v>
      </c>
      <c r="F31" s="606"/>
      <c r="G31" s="608"/>
      <c r="H31" s="631">
        <f>H30+E31</f>
        <v>80.096839999999858</v>
      </c>
    </row>
    <row r="32" spans="1:8" s="15" customFormat="1" ht="17.25" customHeight="1" x14ac:dyDescent="0.2">
      <c r="A32" s="265">
        <v>2023</v>
      </c>
      <c r="B32" s="237"/>
      <c r="C32" s="238"/>
      <c r="D32" s="239"/>
      <c r="E32" s="373">
        <v>-18.835000000000001</v>
      </c>
      <c r="F32" s="237"/>
      <c r="G32" s="266"/>
      <c r="H32" s="632">
        <f>H31+E32</f>
        <v>61.261839999999857</v>
      </c>
    </row>
    <row r="33" spans="1:9" ht="3.75" customHeight="1" x14ac:dyDescent="0.2"/>
    <row r="34" spans="1:9" s="562" customFormat="1" ht="15" customHeight="1" x14ac:dyDescent="0.2">
      <c r="A34" s="731" t="s">
        <v>334</v>
      </c>
      <c r="B34" s="731"/>
      <c r="C34" s="731"/>
      <c r="D34" s="731"/>
      <c r="E34" s="731"/>
      <c r="F34" s="731"/>
      <c r="G34" s="731"/>
      <c r="H34" s="731"/>
      <c r="I34" s="731"/>
    </row>
    <row r="35" spans="1:9" s="562" customFormat="1" ht="15" customHeight="1" x14ac:dyDescent="0.2">
      <c r="A35" s="731" t="s">
        <v>335</v>
      </c>
      <c r="B35" s="731"/>
      <c r="C35" s="731"/>
      <c r="D35" s="731"/>
      <c r="E35" s="731"/>
      <c r="F35" s="731"/>
      <c r="G35" s="731"/>
      <c r="H35" s="731"/>
      <c r="I35" s="731"/>
    </row>
    <row r="36" spans="1:9" s="562" customFormat="1" ht="15" customHeight="1" x14ac:dyDescent="0.2">
      <c r="A36" s="562" t="s">
        <v>328</v>
      </c>
    </row>
    <row r="37" spans="1:9" s="562" customFormat="1" ht="15" customHeight="1" x14ac:dyDescent="0.2">
      <c r="A37" s="733" t="s">
        <v>458</v>
      </c>
      <c r="B37" s="722"/>
      <c r="C37" s="722"/>
      <c r="D37" s="722"/>
      <c r="E37" s="722"/>
      <c r="F37" s="722"/>
      <c r="G37" s="722"/>
      <c r="H37" s="722"/>
      <c r="I37" s="732"/>
    </row>
    <row r="38" spans="1:9" s="562" customFormat="1" ht="15" x14ac:dyDescent="0.2">
      <c r="A38" s="562" t="s">
        <v>329</v>
      </c>
    </row>
    <row r="39" spans="1:9" s="562" customFormat="1" ht="15" customHeight="1" x14ac:dyDescent="0.2">
      <c r="A39" s="731" t="s">
        <v>330</v>
      </c>
      <c r="B39" s="732"/>
      <c r="C39" s="732"/>
      <c r="D39" s="732"/>
      <c r="E39" s="732"/>
      <c r="F39" s="732"/>
      <c r="G39" s="732"/>
      <c r="H39" s="732"/>
      <c r="I39" s="732"/>
    </row>
    <row r="40" spans="1:9" s="562" customFormat="1" ht="30" customHeight="1" x14ac:dyDescent="0.2">
      <c r="A40" s="733" t="s">
        <v>331</v>
      </c>
      <c r="B40" s="722"/>
      <c r="C40" s="722"/>
      <c r="D40" s="722"/>
      <c r="E40" s="722"/>
      <c r="F40" s="722"/>
      <c r="G40" s="722"/>
      <c r="H40" s="722"/>
      <c r="I40" s="732"/>
    </row>
  </sheetData>
  <mergeCells count="8">
    <mergeCell ref="B4:D4"/>
    <mergeCell ref="F4:G4"/>
    <mergeCell ref="H4:H5"/>
    <mergeCell ref="A39:I39"/>
    <mergeCell ref="A40:I40"/>
    <mergeCell ref="A37:I37"/>
    <mergeCell ref="A34:I34"/>
    <mergeCell ref="A35:I35"/>
  </mergeCells>
  <pageMargins left="0.19685039370078741" right="0.19685039370078741" top="0.39370078740157483" bottom="0.59055118110236227" header="0.31496062992125984" footer="0.31496062992125984"/>
  <pageSetup paperSize="8" fitToHeight="0" orientation="portrait" r:id="rId1"/>
  <headerFooter>
    <oddFooter>&amp;L&amp;"Arial Narrow,Standard"DFG, 11. Oktober 2022</oddFooter>
  </headerFooter>
  <ignoredErrors>
    <ignoredError sqref="H14 H21 H25"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1"/>
  <sheetViews>
    <sheetView view="pageBreakPreview" zoomScale="130" zoomScaleNormal="130" zoomScaleSheetLayoutView="130" workbookViewId="0"/>
  </sheetViews>
  <sheetFormatPr baseColWidth="10" defaultColWidth="11.42578125" defaultRowHeight="12.75" x14ac:dyDescent="0.2"/>
  <cols>
    <col min="1" max="1" width="7" style="2" customWidth="1"/>
    <col min="2" max="6" width="11.42578125" style="2" customWidth="1"/>
    <col min="7" max="7" width="10.42578125" style="2" customWidth="1"/>
    <col min="8" max="8" width="11.42578125" style="2" customWidth="1"/>
    <col min="9" max="9" width="10.42578125" style="2" customWidth="1"/>
    <col min="10" max="10" width="9.7109375" style="2" customWidth="1"/>
    <col min="11" max="11" width="10.42578125" style="2" customWidth="1"/>
    <col min="12" max="12" width="10.140625" style="2" customWidth="1"/>
    <col min="13" max="13" width="12.42578125" style="2" customWidth="1"/>
    <col min="14" max="15" width="9" style="2" customWidth="1"/>
    <col min="16" max="16" width="10" style="2" customWidth="1"/>
    <col min="17" max="17" width="10.5703125" style="2" customWidth="1"/>
    <col min="18" max="18" width="9.42578125" style="2" customWidth="1"/>
    <col min="19" max="20" width="9" style="2" customWidth="1"/>
    <col min="21" max="21" width="11.5703125" style="2" customWidth="1"/>
    <col min="22" max="24" width="10.28515625" style="2" customWidth="1"/>
    <col min="25" max="25" width="11.42578125" style="34"/>
    <col min="26" max="16384" width="11.42578125" style="2"/>
  </cols>
  <sheetData>
    <row r="1" spans="1:25" ht="15.75" x14ac:dyDescent="0.25">
      <c r="A1" s="1" t="s">
        <v>6</v>
      </c>
    </row>
    <row r="2" spans="1:25" x14ac:dyDescent="0.2">
      <c r="A2" s="2" t="s">
        <v>312</v>
      </c>
    </row>
    <row r="4" spans="1:25" ht="21" customHeight="1" x14ac:dyDescent="0.2">
      <c r="A4" s="12"/>
      <c r="B4" s="734" t="s">
        <v>7</v>
      </c>
      <c r="C4" s="735"/>
      <c r="D4" s="735"/>
      <c r="E4" s="736"/>
      <c r="F4" s="739" t="s">
        <v>8</v>
      </c>
      <c r="G4" s="740"/>
      <c r="H4" s="741"/>
      <c r="I4" s="734" t="s">
        <v>9</v>
      </c>
      <c r="J4" s="737"/>
      <c r="K4" s="737"/>
      <c r="L4" s="737"/>
      <c r="M4" s="738"/>
      <c r="N4" s="734" t="s">
        <v>10</v>
      </c>
      <c r="O4" s="735"/>
      <c r="P4" s="737"/>
      <c r="Q4" s="738"/>
      <c r="R4" s="734" t="s">
        <v>56</v>
      </c>
      <c r="S4" s="737"/>
      <c r="T4" s="737"/>
      <c r="U4" s="738"/>
      <c r="V4" s="734" t="s">
        <v>24</v>
      </c>
      <c r="W4" s="737"/>
      <c r="X4" s="738"/>
    </row>
    <row r="5" spans="1:25" s="7" customFormat="1" ht="28.5" customHeight="1" x14ac:dyDescent="0.2">
      <c r="A5" s="19" t="s">
        <v>4</v>
      </c>
      <c r="B5" s="13" t="s">
        <v>155</v>
      </c>
      <c r="C5" s="28" t="s">
        <v>17</v>
      </c>
      <c r="D5" s="28" t="s">
        <v>3</v>
      </c>
      <c r="E5" s="29" t="s">
        <v>18</v>
      </c>
      <c r="F5" s="13" t="s">
        <v>2</v>
      </c>
      <c r="G5" s="28" t="s">
        <v>104</v>
      </c>
      <c r="H5" s="29" t="s">
        <v>19</v>
      </c>
      <c r="I5" s="13" t="s">
        <v>84</v>
      </c>
      <c r="J5" s="28" t="s">
        <v>85</v>
      </c>
      <c r="K5" s="28" t="s">
        <v>336</v>
      </c>
      <c r="L5" s="28" t="s">
        <v>86</v>
      </c>
      <c r="M5" s="29" t="s">
        <v>20</v>
      </c>
      <c r="N5" s="30" t="s">
        <v>89</v>
      </c>
      <c r="O5" s="31" t="s">
        <v>90</v>
      </c>
      <c r="P5" s="28" t="s">
        <v>93</v>
      </c>
      <c r="Q5" s="29" t="s">
        <v>21</v>
      </c>
      <c r="R5" s="13" t="s">
        <v>84</v>
      </c>
      <c r="S5" s="28" t="s">
        <v>85</v>
      </c>
      <c r="T5" s="28" t="s">
        <v>11</v>
      </c>
      <c r="U5" s="29" t="s">
        <v>23</v>
      </c>
      <c r="V5" s="35" t="s">
        <v>156</v>
      </c>
      <c r="W5" s="32" t="s">
        <v>16</v>
      </c>
      <c r="X5" s="29" t="s">
        <v>339</v>
      </c>
      <c r="Y5" s="34"/>
    </row>
    <row r="6" spans="1:25" s="7" customFormat="1" ht="17.25" customHeight="1" x14ac:dyDescent="0.2">
      <c r="A6" s="20" t="s">
        <v>136</v>
      </c>
      <c r="B6" s="21">
        <f>L35</f>
        <v>178.41900000000001</v>
      </c>
      <c r="C6" s="22">
        <v>160.80000000000001</v>
      </c>
      <c r="D6" s="22">
        <f>B6-C6</f>
        <v>17.619</v>
      </c>
      <c r="E6" s="23">
        <f>B6/C6</f>
        <v>1.109570895522388</v>
      </c>
      <c r="F6" s="21">
        <f>B6</f>
        <v>178.41900000000001</v>
      </c>
      <c r="G6" s="22">
        <v>1908.5</v>
      </c>
      <c r="H6" s="23">
        <f t="shared" ref="H6:H11" si="0">F6/G6</f>
        <v>9.3486507728582663E-2</v>
      </c>
      <c r="I6" s="21">
        <v>983.6</v>
      </c>
      <c r="J6" s="22">
        <v>2639.1</v>
      </c>
      <c r="K6" s="22">
        <f t="shared" ref="K6:K11" si="1">I6-J6</f>
        <v>-1655.5</v>
      </c>
      <c r="L6" s="22">
        <v>704.5</v>
      </c>
      <c r="M6" s="23">
        <f t="shared" ref="M6:M11" si="2">K6/L6</f>
        <v>-2.3498935415188078</v>
      </c>
      <c r="N6" s="17">
        <v>2.4</v>
      </c>
      <c r="O6" s="18">
        <v>7.6</v>
      </c>
      <c r="P6" s="22">
        <v>1908.5</v>
      </c>
      <c r="Q6" s="23">
        <f t="shared" ref="Q6:Q11" si="3">(N6-O6)/P6</f>
        <v>-2.7246528687450873E-3</v>
      </c>
      <c r="R6" s="27">
        <f>I6</f>
        <v>983.6</v>
      </c>
      <c r="S6" s="26">
        <f>J6</f>
        <v>2639.1</v>
      </c>
      <c r="T6" s="24">
        <v>193920</v>
      </c>
      <c r="U6" s="25">
        <f>(R6-S6)/T6*1000000</f>
        <v>-8537.0255775577552</v>
      </c>
      <c r="V6" s="36">
        <f>R50</f>
        <v>1883.3659329999998</v>
      </c>
      <c r="W6" s="26">
        <v>14008.0002</v>
      </c>
      <c r="X6" s="33">
        <f t="shared" ref="X6:X16" si="4">V6/W6</f>
        <v>0.13444930797473859</v>
      </c>
      <c r="Y6" s="34"/>
    </row>
    <row r="7" spans="1:25" s="7" customFormat="1" ht="17.25" customHeight="1" x14ac:dyDescent="0.2">
      <c r="A7" s="329" t="s">
        <v>137</v>
      </c>
      <c r="B7" s="21">
        <f>L36</f>
        <v>178.322</v>
      </c>
      <c r="C7" s="114">
        <v>128</v>
      </c>
      <c r="D7" s="114">
        <f t="shared" ref="D7:D16" si="5">B7-C7</f>
        <v>50.322000000000003</v>
      </c>
      <c r="E7" s="331">
        <f t="shared" ref="E7:E16" si="6">B7/C7</f>
        <v>1.393140625</v>
      </c>
      <c r="F7" s="330">
        <f t="shared" ref="F7:F16" si="7">B7</f>
        <v>178.322</v>
      </c>
      <c r="G7" s="114">
        <v>1981.8</v>
      </c>
      <c r="H7" s="331">
        <f t="shared" si="0"/>
        <v>8.9979816328590173E-2</v>
      </c>
      <c r="I7" s="330">
        <v>1084.6590000000001</v>
      </c>
      <c r="J7" s="114">
        <v>2794</v>
      </c>
      <c r="K7" s="114">
        <f t="shared" si="1"/>
        <v>-1709.3409999999999</v>
      </c>
      <c r="L7" s="114">
        <v>761.3</v>
      </c>
      <c r="M7" s="331">
        <f t="shared" si="2"/>
        <v>-2.2452922632339418</v>
      </c>
      <c r="N7" s="332">
        <v>1.6</v>
      </c>
      <c r="O7" s="333">
        <v>6.9</v>
      </c>
      <c r="P7" s="114">
        <v>1981.8</v>
      </c>
      <c r="Q7" s="331">
        <f t="shared" si="3"/>
        <v>-2.6743364618024021E-3</v>
      </c>
      <c r="R7" s="334">
        <f t="shared" ref="R7:R11" si="8">I7</f>
        <v>1084.6590000000001</v>
      </c>
      <c r="S7" s="335">
        <f t="shared" ref="S7:S11" si="9">J7</f>
        <v>2794</v>
      </c>
      <c r="T7" s="336">
        <v>194959</v>
      </c>
      <c r="U7" s="337">
        <f t="shared" ref="U7:U11" si="10">(R7-S7)/T7*1000000</f>
        <v>-8767.6947460748161</v>
      </c>
      <c r="V7" s="338">
        <f t="shared" ref="V7:V16" si="11">R51</f>
        <v>1893.4191169999995</v>
      </c>
      <c r="W7" s="335">
        <v>14172.378559999999</v>
      </c>
      <c r="X7" s="489">
        <f t="shared" si="4"/>
        <v>0.13359924793033467</v>
      </c>
      <c r="Y7" s="34"/>
    </row>
    <row r="8" spans="1:25" s="7" customFormat="1" ht="17.25" customHeight="1" x14ac:dyDescent="0.2">
      <c r="A8" s="329" t="s">
        <v>138</v>
      </c>
      <c r="B8" s="330">
        <f t="shared" ref="B8:B16" si="12">L37</f>
        <v>211.76400000000001</v>
      </c>
      <c r="C8" s="114">
        <v>163.30000000000001</v>
      </c>
      <c r="D8" s="114">
        <f t="shared" si="5"/>
        <v>48.463999999999999</v>
      </c>
      <c r="E8" s="331">
        <f t="shared" si="6"/>
        <v>1.2967789344764238</v>
      </c>
      <c r="F8" s="330">
        <f t="shared" si="7"/>
        <v>211.76400000000001</v>
      </c>
      <c r="G8" s="114">
        <v>2062.6</v>
      </c>
      <c r="H8" s="331">
        <f t="shared" si="0"/>
        <v>0.10266847667991856</v>
      </c>
      <c r="I8" s="330">
        <v>1391.3</v>
      </c>
      <c r="J8" s="114">
        <v>2698.8</v>
      </c>
      <c r="K8" s="114">
        <f t="shared" si="1"/>
        <v>-1307.5000000000002</v>
      </c>
      <c r="L8" s="114">
        <v>744.2</v>
      </c>
      <c r="M8" s="331">
        <f t="shared" si="2"/>
        <v>-1.7569201827465737</v>
      </c>
      <c r="N8" s="332">
        <v>0.9</v>
      </c>
      <c r="O8" s="333">
        <v>3.3</v>
      </c>
      <c r="P8" s="114">
        <v>2062.6</v>
      </c>
      <c r="Q8" s="331">
        <f t="shared" si="3"/>
        <v>-1.1635799476389023E-3</v>
      </c>
      <c r="R8" s="334">
        <f t="shared" si="8"/>
        <v>1391.3</v>
      </c>
      <c r="S8" s="335">
        <f t="shared" si="9"/>
        <v>2698.8</v>
      </c>
      <c r="T8" s="336">
        <v>195886</v>
      </c>
      <c r="U8" s="337">
        <f t="shared" si="10"/>
        <v>-6674.8006493572802</v>
      </c>
      <c r="V8" s="339">
        <f t="shared" si="11"/>
        <v>1923.1227699999995</v>
      </c>
      <c r="W8" s="335">
        <v>14287.44303</v>
      </c>
      <c r="X8" s="489">
        <f t="shared" si="4"/>
        <v>0.13460230539235959</v>
      </c>
      <c r="Y8" s="34"/>
    </row>
    <row r="9" spans="1:25" s="7" customFormat="1" ht="17.25" customHeight="1" x14ac:dyDescent="0.2">
      <c r="A9" s="340" t="s">
        <v>139</v>
      </c>
      <c r="B9" s="341">
        <f t="shared" si="12"/>
        <v>183.226</v>
      </c>
      <c r="C9" s="342">
        <v>207.2</v>
      </c>
      <c r="D9" s="342">
        <f t="shared" si="5"/>
        <v>-23.97399999999999</v>
      </c>
      <c r="E9" s="343">
        <f t="shared" si="6"/>
        <v>0.8842953667953668</v>
      </c>
      <c r="F9" s="341">
        <f t="shared" si="7"/>
        <v>183.226</v>
      </c>
      <c r="G9" s="342">
        <v>1853.2</v>
      </c>
      <c r="H9" s="343">
        <f t="shared" si="0"/>
        <v>9.8870062594431249E-2</v>
      </c>
      <c r="I9" s="341">
        <v>1484.5</v>
      </c>
      <c r="J9" s="342">
        <v>2748.3</v>
      </c>
      <c r="K9" s="342">
        <f t="shared" si="1"/>
        <v>-1263.8000000000002</v>
      </c>
      <c r="L9" s="342">
        <v>751.8</v>
      </c>
      <c r="M9" s="343">
        <f t="shared" si="2"/>
        <v>-1.6810321894120781</v>
      </c>
      <c r="N9" s="344">
        <v>1</v>
      </c>
      <c r="O9" s="345">
        <v>3.7</v>
      </c>
      <c r="P9" s="342">
        <v>1853.2</v>
      </c>
      <c r="Q9" s="343">
        <f t="shared" si="3"/>
        <v>-1.4569393481545436E-3</v>
      </c>
      <c r="R9" s="346">
        <f t="shared" si="8"/>
        <v>1484.5</v>
      </c>
      <c r="S9" s="347">
        <f t="shared" si="9"/>
        <v>2748.3</v>
      </c>
      <c r="T9" s="348">
        <v>196610</v>
      </c>
      <c r="U9" s="349">
        <f t="shared" si="10"/>
        <v>-6427.9538172015682</v>
      </c>
      <c r="V9" s="346">
        <f t="shared" si="11"/>
        <v>1945.4049659999998</v>
      </c>
      <c r="W9" s="347">
        <v>14394.82631</v>
      </c>
      <c r="X9" s="490">
        <f t="shared" si="4"/>
        <v>0.13514612292671699</v>
      </c>
      <c r="Y9" s="34"/>
    </row>
    <row r="10" spans="1:25" s="7" customFormat="1" ht="17.25" customHeight="1" x14ac:dyDescent="0.2">
      <c r="A10" s="350" t="s">
        <v>140</v>
      </c>
      <c r="B10" s="351">
        <f t="shared" si="12"/>
        <v>244.87400000000005</v>
      </c>
      <c r="C10" s="293">
        <v>221.4</v>
      </c>
      <c r="D10" s="293">
        <f t="shared" si="5"/>
        <v>23.474000000000046</v>
      </c>
      <c r="E10" s="352">
        <f t="shared" si="6"/>
        <v>1.1060252935862693</v>
      </c>
      <c r="F10" s="351">
        <f>B10</f>
        <v>244.87400000000005</v>
      </c>
      <c r="G10" s="293">
        <v>1949.1</v>
      </c>
      <c r="H10" s="352">
        <f t="shared" si="0"/>
        <v>0.12563439536196197</v>
      </c>
      <c r="I10" s="351">
        <v>1624</v>
      </c>
      <c r="J10" s="293">
        <v>2956.5</v>
      </c>
      <c r="K10" s="293">
        <f t="shared" si="1"/>
        <v>-1332.5</v>
      </c>
      <c r="L10" s="293">
        <v>775.2</v>
      </c>
      <c r="M10" s="352">
        <f t="shared" si="2"/>
        <v>-1.7189112487100102</v>
      </c>
      <c r="N10" s="353">
        <v>1</v>
      </c>
      <c r="O10" s="354">
        <v>4</v>
      </c>
      <c r="P10" s="293">
        <v>1949.1</v>
      </c>
      <c r="Q10" s="352">
        <f t="shared" si="3"/>
        <v>-1.539171925504079E-3</v>
      </c>
      <c r="R10" s="355">
        <f t="shared" si="8"/>
        <v>1624</v>
      </c>
      <c r="S10" s="356">
        <f t="shared" si="9"/>
        <v>2956.5</v>
      </c>
      <c r="T10" s="357">
        <v>197550</v>
      </c>
      <c r="U10" s="358">
        <f t="shared" si="10"/>
        <v>-6745.1278157428496</v>
      </c>
      <c r="V10" s="355">
        <f t="shared" si="11"/>
        <v>1985.3808660000004</v>
      </c>
      <c r="W10" s="356">
        <v>14190.51547</v>
      </c>
      <c r="X10" s="491">
        <f t="shared" si="4"/>
        <v>0.13990900261496986</v>
      </c>
      <c r="Y10" s="34"/>
    </row>
    <row r="11" spans="1:25" s="7" customFormat="1" ht="17.25" customHeight="1" x14ac:dyDescent="0.2">
      <c r="A11" s="329" t="s">
        <v>141</v>
      </c>
      <c r="B11" s="330">
        <f t="shared" si="12"/>
        <v>286.00343700000002</v>
      </c>
      <c r="C11" s="114">
        <v>239.7</v>
      </c>
      <c r="D11" s="114">
        <f t="shared" si="5"/>
        <v>46.303437000000031</v>
      </c>
      <c r="E11" s="331">
        <f t="shared" si="6"/>
        <v>1.193172453066333</v>
      </c>
      <c r="F11" s="330">
        <f t="shared" si="7"/>
        <v>286.00343700000002</v>
      </c>
      <c r="G11" s="114">
        <v>1953</v>
      </c>
      <c r="H11" s="331">
        <f t="shared" si="0"/>
        <v>0.1464431321044547</v>
      </c>
      <c r="I11" s="330">
        <v>1505.4</v>
      </c>
      <c r="J11" s="114">
        <v>2862.7</v>
      </c>
      <c r="K11" s="114">
        <f t="shared" si="1"/>
        <v>-1357.2999999999997</v>
      </c>
      <c r="L11" s="114">
        <v>803.3</v>
      </c>
      <c r="M11" s="331">
        <f t="shared" si="2"/>
        <v>-1.6896551724137929</v>
      </c>
      <c r="N11" s="332">
        <v>0.9</v>
      </c>
      <c r="O11" s="333">
        <v>7.2</v>
      </c>
      <c r="P11" s="114">
        <v>1953</v>
      </c>
      <c r="Q11" s="331">
        <f t="shared" si="3"/>
        <v>-3.2258064516129032E-3</v>
      </c>
      <c r="R11" s="334">
        <f t="shared" si="8"/>
        <v>1505.4</v>
      </c>
      <c r="S11" s="335">
        <f t="shared" si="9"/>
        <v>2862.7</v>
      </c>
      <c r="T11" s="336">
        <v>197888</v>
      </c>
      <c r="U11" s="337">
        <f t="shared" si="10"/>
        <v>-6858.9303040103478</v>
      </c>
      <c r="V11" s="334">
        <f t="shared" si="11"/>
        <v>1996.984285</v>
      </c>
      <c r="W11" s="335">
        <v>14624.2037</v>
      </c>
      <c r="X11" s="489">
        <f t="shared" si="4"/>
        <v>0.13655336905625842</v>
      </c>
      <c r="Y11" s="34"/>
    </row>
    <row r="12" spans="1:25" s="7" customFormat="1" ht="17.25" customHeight="1" x14ac:dyDescent="0.2">
      <c r="A12" s="329" t="s">
        <v>142</v>
      </c>
      <c r="B12" s="330">
        <f t="shared" si="12"/>
        <v>300.31200000000001</v>
      </c>
      <c r="C12" s="114">
        <v>227.07300000000001</v>
      </c>
      <c r="D12" s="114">
        <f t="shared" si="5"/>
        <v>73.239000000000004</v>
      </c>
      <c r="E12" s="331">
        <f t="shared" ref="E12:E15" si="13">B12/C12</f>
        <v>1.3225350437964885</v>
      </c>
      <c r="F12" s="330">
        <f t="shared" ref="F12:F15" si="14">B12</f>
        <v>300.31200000000001</v>
      </c>
      <c r="G12" s="114">
        <v>1969.4737259999999</v>
      </c>
      <c r="H12" s="331">
        <f>F12/G12</f>
        <v>0.15248337463731162</v>
      </c>
      <c r="I12" s="330">
        <v>1533.3</v>
      </c>
      <c r="J12" s="114">
        <v>2897.2190000000001</v>
      </c>
      <c r="K12" s="114">
        <f t="shared" ref="K12" si="15">I12-J12</f>
        <v>-1363.9190000000001</v>
      </c>
      <c r="L12" s="114">
        <v>806.9</v>
      </c>
      <c r="M12" s="331">
        <f>K12/L12</f>
        <v>-1.690319742223324</v>
      </c>
      <c r="N12" s="332">
        <v>0.73435899999999998</v>
      </c>
      <c r="O12" s="361">
        <v>4.0932029999999999</v>
      </c>
      <c r="P12" s="114">
        <f>G12</f>
        <v>1969.4737259999999</v>
      </c>
      <c r="Q12" s="331">
        <f>(N12-O12)/P12</f>
        <v>-1.7054525560093712E-3</v>
      </c>
      <c r="R12" s="334">
        <f t="shared" ref="R12" si="16">I12</f>
        <v>1533.3</v>
      </c>
      <c r="S12" s="335">
        <f t="shared" ref="S12" si="17">J12</f>
        <v>2897.2190000000001</v>
      </c>
      <c r="T12" s="336">
        <v>198379</v>
      </c>
      <c r="U12" s="337">
        <f t="shared" ref="U12" si="18">(R12-S12)/T12*1000000</f>
        <v>-6875.3194642578101</v>
      </c>
      <c r="V12" s="334">
        <f t="shared" si="11"/>
        <v>2006.4808209999992</v>
      </c>
      <c r="W12" s="335">
        <v>15069.601409999999</v>
      </c>
      <c r="X12" s="331">
        <f t="shared" ref="X12:X15" si="19">V12/W12</f>
        <v>0.13314757082218004</v>
      </c>
      <c r="Y12" s="34"/>
    </row>
    <row r="13" spans="1:25" s="7" customFormat="1" ht="17.25" customHeight="1" x14ac:dyDescent="0.2">
      <c r="A13" s="376" t="s">
        <v>143</v>
      </c>
      <c r="B13" s="377">
        <f t="shared" si="12"/>
        <v>270.82132899999999</v>
      </c>
      <c r="C13" s="298">
        <v>200.48964899999999</v>
      </c>
      <c r="D13" s="298">
        <f t="shared" si="5"/>
        <v>70.331680000000006</v>
      </c>
      <c r="E13" s="378">
        <f t="shared" ref="E13:E14" si="20">B13/C13</f>
        <v>1.350799556739211</v>
      </c>
      <c r="F13" s="377">
        <f t="shared" ref="F13:F14" si="21">B13</f>
        <v>270.82132899999999</v>
      </c>
      <c r="G13" s="298">
        <v>2065.0446179999999</v>
      </c>
      <c r="H13" s="378">
        <f>F13/G13</f>
        <v>0.13114550970927255</v>
      </c>
      <c r="I13" s="377">
        <v>1517.813799</v>
      </c>
      <c r="J13" s="298">
        <v>2987.1305390000002</v>
      </c>
      <c r="K13" s="298">
        <f t="shared" ref="K13:K14" si="22">I13-J13</f>
        <v>-1469.3167400000002</v>
      </c>
      <c r="L13" s="298">
        <v>836.04792499999996</v>
      </c>
      <c r="M13" s="378">
        <f>K13/L13</f>
        <v>-1.7574551602409638</v>
      </c>
      <c r="N13" s="379">
        <v>1.2680149999999999</v>
      </c>
      <c r="O13" s="380">
        <v>3.7542490000000002</v>
      </c>
      <c r="P13" s="296">
        <f>G13</f>
        <v>2065.0446179999999</v>
      </c>
      <c r="Q13" s="381">
        <f t="shared" ref="Q13" si="23">(N13-O13)/P13</f>
        <v>-1.2039613954723766E-3</v>
      </c>
      <c r="R13" s="382">
        <f t="shared" ref="R13:S14" si="24">I13</f>
        <v>1517.813799</v>
      </c>
      <c r="S13" s="383">
        <f t="shared" ref="S13" si="25">J13</f>
        <v>2987.1305390000002</v>
      </c>
      <c r="T13" s="384">
        <v>199021</v>
      </c>
      <c r="U13" s="385">
        <f t="shared" ref="U13:U14" si="26">(R13-S13)/T13*1000000</f>
        <v>-7382.7221248009018</v>
      </c>
      <c r="V13" s="382">
        <f t="shared" si="11"/>
        <v>2044.9514699999993</v>
      </c>
      <c r="W13" s="383">
        <v>14585.948146999999</v>
      </c>
      <c r="X13" s="381">
        <f t="shared" ref="X13:X14" si="27">V13/W13</f>
        <v>0.14020010556671283</v>
      </c>
      <c r="Y13" s="34"/>
    </row>
    <row r="14" spans="1:25" s="7" customFormat="1" ht="17.25" customHeight="1" x14ac:dyDescent="0.2">
      <c r="A14" s="375" t="s">
        <v>441</v>
      </c>
      <c r="B14" s="355">
        <f t="shared" si="12"/>
        <v>332.06427100000008</v>
      </c>
      <c r="C14" s="356">
        <v>189.397232</v>
      </c>
      <c r="D14" s="356">
        <f t="shared" si="5"/>
        <v>142.66703900000007</v>
      </c>
      <c r="E14" s="352">
        <f t="shared" si="20"/>
        <v>1.7532688703708197</v>
      </c>
      <c r="F14" s="355">
        <f t="shared" si="21"/>
        <v>332.06427100000008</v>
      </c>
      <c r="G14" s="356">
        <v>2343.656935</v>
      </c>
      <c r="H14" s="352">
        <f>F14/G14</f>
        <v>0.14168638167172709</v>
      </c>
      <c r="I14" s="355">
        <v>1687.183734</v>
      </c>
      <c r="J14" s="356">
        <v>3352.167868</v>
      </c>
      <c r="K14" s="356">
        <f t="shared" si="22"/>
        <v>-1664.984134</v>
      </c>
      <c r="L14" s="356">
        <v>819.23738700000001</v>
      </c>
      <c r="M14" s="352">
        <f>K14/L14</f>
        <v>-2.0323585817989529</v>
      </c>
      <c r="N14" s="635">
        <v>0.823133</v>
      </c>
      <c r="O14" s="636">
        <v>2.8764259999999999</v>
      </c>
      <c r="P14" s="637">
        <f>G14</f>
        <v>2343.656935</v>
      </c>
      <c r="Q14" s="491">
        <f>(N14-O14)/P14</f>
        <v>-8.7610646820201099E-4</v>
      </c>
      <c r="R14" s="640">
        <f t="shared" si="24"/>
        <v>1687.183734</v>
      </c>
      <c r="S14" s="637">
        <f t="shared" si="24"/>
        <v>3352.167868</v>
      </c>
      <c r="T14" s="641">
        <v>200096</v>
      </c>
      <c r="U14" s="642">
        <f t="shared" si="26"/>
        <v>-8320.926625219894</v>
      </c>
      <c r="V14" s="640">
        <f t="shared" si="11"/>
        <v>2272.3109870000003</v>
      </c>
      <c r="W14" s="637">
        <v>15249.921247</v>
      </c>
      <c r="X14" s="491">
        <f t="shared" si="27"/>
        <v>0.14900476862770781</v>
      </c>
      <c r="Y14" s="34"/>
    </row>
    <row r="15" spans="1:25" s="7" customFormat="1" ht="17.25" customHeight="1" x14ac:dyDescent="0.2">
      <c r="A15" s="20" t="s">
        <v>144</v>
      </c>
      <c r="B15" s="27">
        <f>L44</f>
        <v>193.26500000000001</v>
      </c>
      <c r="C15" s="26">
        <v>280.71300000000002</v>
      </c>
      <c r="D15" s="26">
        <f t="shared" si="5"/>
        <v>-87.448000000000008</v>
      </c>
      <c r="E15" s="23">
        <f t="shared" si="13"/>
        <v>0.68847898031085131</v>
      </c>
      <c r="F15" s="27">
        <f t="shared" si="14"/>
        <v>193.26500000000001</v>
      </c>
      <c r="G15" s="26">
        <v>2066.288</v>
      </c>
      <c r="H15" s="23">
        <f>F15/G15</f>
        <v>9.353246014108392E-2</v>
      </c>
      <c r="I15" s="21"/>
      <c r="J15" s="22"/>
      <c r="K15" s="22"/>
      <c r="L15" s="22"/>
      <c r="M15" s="23"/>
      <c r="N15" s="638">
        <v>0.65200000000000002</v>
      </c>
      <c r="O15" s="639">
        <v>3.1680000000000001</v>
      </c>
      <c r="P15" s="36">
        <f>G15</f>
        <v>2066.288</v>
      </c>
      <c r="Q15" s="33">
        <f>(N15-O15)/P15</f>
        <v>-1.2176424583601124E-3</v>
      </c>
      <c r="R15" s="610"/>
      <c r="S15" s="36"/>
      <c r="T15" s="611"/>
      <c r="U15" s="612"/>
      <c r="V15" s="610">
        <f t="shared" si="11"/>
        <v>2236.6320000000001</v>
      </c>
      <c r="W15" s="36">
        <v>15804.698052</v>
      </c>
      <c r="X15" s="33">
        <f t="shared" si="19"/>
        <v>0.14151690798780975</v>
      </c>
      <c r="Y15" s="34"/>
    </row>
    <row r="16" spans="1:25" s="7" customFormat="1" ht="17.25" customHeight="1" x14ac:dyDescent="0.2">
      <c r="A16" s="376" t="s">
        <v>442</v>
      </c>
      <c r="B16" s="633">
        <f t="shared" si="12"/>
        <v>203.22899999999998</v>
      </c>
      <c r="C16" s="634">
        <v>301.072</v>
      </c>
      <c r="D16" s="634">
        <f t="shared" si="5"/>
        <v>-97.843000000000018</v>
      </c>
      <c r="E16" s="378">
        <f t="shared" si="6"/>
        <v>0.67501793590901837</v>
      </c>
      <c r="F16" s="633">
        <f t="shared" si="7"/>
        <v>203.22899999999998</v>
      </c>
      <c r="G16" s="634">
        <v>2183.8200000000002</v>
      </c>
      <c r="H16" s="378">
        <f>F16/G16</f>
        <v>9.3061241311097054E-2</v>
      </c>
      <c r="I16" s="377"/>
      <c r="J16" s="298"/>
      <c r="K16" s="298"/>
      <c r="L16" s="298"/>
      <c r="M16" s="378"/>
      <c r="N16" s="379">
        <v>1.119</v>
      </c>
      <c r="O16" s="380">
        <v>7.77</v>
      </c>
      <c r="P16" s="383">
        <f>G16</f>
        <v>2183.8200000000002</v>
      </c>
      <c r="Q16" s="381">
        <f>(N16-O16)/P16</f>
        <v>-3.0455806797263507E-3</v>
      </c>
      <c r="R16" s="382"/>
      <c r="S16" s="383"/>
      <c r="T16" s="384"/>
      <c r="U16" s="385"/>
      <c r="V16" s="382">
        <f t="shared" si="11"/>
        <v>2379.335</v>
      </c>
      <c r="W16" s="383">
        <v>16189.954696999999</v>
      </c>
      <c r="X16" s="381">
        <f t="shared" si="4"/>
        <v>0.14696366015408871</v>
      </c>
      <c r="Y16" s="34"/>
    </row>
    <row r="17" spans="1:25" s="544" customFormat="1" ht="3.75" customHeight="1" x14ac:dyDescent="0.2">
      <c r="A17" s="539"/>
      <c r="B17" s="540"/>
      <c r="C17" s="540"/>
      <c r="D17" s="540"/>
      <c r="E17" s="541"/>
      <c r="F17" s="540"/>
      <c r="G17" s="540"/>
      <c r="H17" s="541"/>
      <c r="I17" s="540"/>
      <c r="J17" s="540"/>
      <c r="K17" s="540"/>
      <c r="L17" s="540"/>
      <c r="M17" s="541"/>
      <c r="N17" s="537"/>
      <c r="O17" s="537"/>
      <c r="P17" s="538"/>
      <c r="Q17" s="542"/>
      <c r="R17" s="538"/>
      <c r="S17" s="538"/>
      <c r="T17" s="543"/>
      <c r="U17" s="543"/>
      <c r="V17" s="538"/>
      <c r="W17" s="538"/>
      <c r="X17" s="542"/>
      <c r="Y17" s="519"/>
    </row>
    <row r="18" spans="1:25" x14ac:dyDescent="0.2">
      <c r="A18" s="2" t="s">
        <v>13</v>
      </c>
    </row>
    <row r="19" spans="1:25" ht="15" x14ac:dyDescent="0.2">
      <c r="A19" s="2" t="s">
        <v>105</v>
      </c>
    </row>
    <row r="21" spans="1:25" x14ac:dyDescent="0.2">
      <c r="A21" s="769" t="s">
        <v>55</v>
      </c>
      <c r="B21" s="734" t="s">
        <v>7</v>
      </c>
      <c r="C21" s="735"/>
      <c r="D21" s="735"/>
      <c r="E21" s="736"/>
      <c r="F21" s="739" t="s">
        <v>8</v>
      </c>
      <c r="G21" s="740"/>
      <c r="H21" s="741"/>
      <c r="I21" s="734" t="s">
        <v>9</v>
      </c>
      <c r="J21" s="737"/>
      <c r="K21" s="737"/>
      <c r="L21" s="737"/>
      <c r="M21" s="738"/>
      <c r="N21" s="734" t="s">
        <v>10</v>
      </c>
      <c r="O21" s="735"/>
      <c r="P21" s="737"/>
      <c r="Q21" s="738"/>
      <c r="R21" s="734" t="s">
        <v>22</v>
      </c>
      <c r="S21" s="737"/>
      <c r="T21" s="737"/>
      <c r="U21" s="738"/>
      <c r="V21" s="734" t="s">
        <v>24</v>
      </c>
      <c r="W21" s="737"/>
      <c r="X21" s="738"/>
    </row>
    <row r="22" spans="1:25" s="34" customFormat="1" x14ac:dyDescent="0.2">
      <c r="A22" s="770"/>
      <c r="B22" s="742" t="s">
        <v>39</v>
      </c>
      <c r="C22" s="743"/>
      <c r="D22" s="743"/>
      <c r="E22" s="744"/>
      <c r="F22" s="745" t="s">
        <v>39</v>
      </c>
      <c r="G22" s="746"/>
      <c r="H22" s="747"/>
      <c r="I22" s="742" t="s">
        <v>39</v>
      </c>
      <c r="J22" s="748"/>
      <c r="K22" s="748"/>
      <c r="L22" s="748"/>
      <c r="M22" s="749"/>
      <c r="N22" s="742" t="s">
        <v>39</v>
      </c>
      <c r="O22" s="743"/>
      <c r="P22" s="748"/>
      <c r="Q22" s="749"/>
      <c r="R22" s="742" t="s">
        <v>39</v>
      </c>
      <c r="S22" s="748"/>
      <c r="T22" s="748"/>
      <c r="U22" s="749"/>
      <c r="V22" s="742" t="s">
        <v>39</v>
      </c>
      <c r="W22" s="748"/>
      <c r="X22" s="749"/>
    </row>
    <row r="23" spans="1:25" s="60" customFormat="1" ht="51" customHeight="1" x14ac:dyDescent="0.2">
      <c r="A23" s="770"/>
      <c r="B23" s="753" t="s">
        <v>42</v>
      </c>
      <c r="C23" s="754"/>
      <c r="D23" s="754"/>
      <c r="E23" s="755"/>
      <c r="F23" s="759" t="s">
        <v>44</v>
      </c>
      <c r="G23" s="760"/>
      <c r="H23" s="761"/>
      <c r="I23" s="753" t="s">
        <v>46</v>
      </c>
      <c r="J23" s="754"/>
      <c r="K23" s="754"/>
      <c r="L23" s="754"/>
      <c r="M23" s="755"/>
      <c r="N23" s="753" t="s">
        <v>52</v>
      </c>
      <c r="O23" s="754"/>
      <c r="P23" s="754"/>
      <c r="Q23" s="755"/>
      <c r="R23" s="753" t="s">
        <v>57</v>
      </c>
      <c r="S23" s="754"/>
      <c r="T23" s="754"/>
      <c r="U23" s="755"/>
      <c r="V23" s="753"/>
      <c r="W23" s="754"/>
      <c r="X23" s="755"/>
    </row>
    <row r="24" spans="1:25" s="34" customFormat="1" x14ac:dyDescent="0.2">
      <c r="A24" s="770"/>
      <c r="B24" s="742" t="s">
        <v>49</v>
      </c>
      <c r="C24" s="743"/>
      <c r="D24" s="743"/>
      <c r="E24" s="744"/>
      <c r="F24" s="742" t="s">
        <v>49</v>
      </c>
      <c r="G24" s="743"/>
      <c r="H24" s="743"/>
      <c r="I24" s="742" t="s">
        <v>49</v>
      </c>
      <c r="J24" s="743"/>
      <c r="K24" s="743"/>
      <c r="L24" s="743"/>
      <c r="M24" s="744"/>
      <c r="N24" s="742" t="s">
        <v>49</v>
      </c>
      <c r="O24" s="743"/>
      <c r="P24" s="748"/>
      <c r="Q24" s="749"/>
      <c r="R24" s="742" t="s">
        <v>49</v>
      </c>
      <c r="S24" s="748"/>
      <c r="T24" s="748"/>
      <c r="U24" s="749"/>
      <c r="V24" s="742" t="s">
        <v>49</v>
      </c>
      <c r="W24" s="748"/>
      <c r="X24" s="749"/>
    </row>
    <row r="25" spans="1:25" s="66" customFormat="1" ht="12.75" customHeight="1" x14ac:dyDescent="0.2">
      <c r="A25" s="770"/>
      <c r="B25" s="772" t="s">
        <v>50</v>
      </c>
      <c r="C25" s="773"/>
      <c r="D25" s="773"/>
      <c r="E25" s="774"/>
      <c r="F25" s="772" t="s">
        <v>50</v>
      </c>
      <c r="G25" s="773"/>
      <c r="H25" s="773"/>
      <c r="I25" s="775" t="s">
        <v>87</v>
      </c>
      <c r="J25" s="757"/>
      <c r="K25" s="757"/>
      <c r="L25" s="757"/>
      <c r="M25" s="758"/>
      <c r="N25" s="775" t="s">
        <v>91</v>
      </c>
      <c r="O25" s="757"/>
      <c r="P25" s="757"/>
      <c r="Q25" s="758"/>
      <c r="R25" s="756" t="s">
        <v>92</v>
      </c>
      <c r="S25" s="757"/>
      <c r="T25" s="757"/>
      <c r="U25" s="758"/>
      <c r="V25" s="756" t="s">
        <v>59</v>
      </c>
      <c r="W25" s="757"/>
      <c r="X25" s="758"/>
    </row>
    <row r="26" spans="1:25" s="66" customFormat="1" ht="12.75" customHeight="1" x14ac:dyDescent="0.2">
      <c r="A26" s="770"/>
      <c r="B26" s="750" t="s">
        <v>51</v>
      </c>
      <c r="C26" s="751"/>
      <c r="D26" s="751"/>
      <c r="E26" s="752"/>
      <c r="F26" s="750" t="s">
        <v>12</v>
      </c>
      <c r="G26" s="751"/>
      <c r="H26" s="751"/>
      <c r="I26" s="750" t="s">
        <v>88</v>
      </c>
      <c r="J26" s="751"/>
      <c r="K26" s="751"/>
      <c r="L26" s="751"/>
      <c r="M26" s="752"/>
      <c r="N26" s="750" t="s">
        <v>12</v>
      </c>
      <c r="O26" s="751"/>
      <c r="P26" s="751"/>
      <c r="Q26" s="752"/>
      <c r="R26" s="750" t="s">
        <v>438</v>
      </c>
      <c r="S26" s="751"/>
      <c r="T26" s="751"/>
      <c r="U26" s="752"/>
      <c r="V26" s="750" t="s">
        <v>60</v>
      </c>
      <c r="W26" s="751"/>
      <c r="X26" s="752"/>
    </row>
    <row r="27" spans="1:25" s="34" customFormat="1" x14ac:dyDescent="0.2">
      <c r="A27" s="770"/>
      <c r="B27" s="742" t="s">
        <v>40</v>
      </c>
      <c r="C27" s="743"/>
      <c r="D27" s="743"/>
      <c r="E27" s="744"/>
      <c r="F27" s="745" t="s">
        <v>40</v>
      </c>
      <c r="G27" s="746"/>
      <c r="H27" s="747"/>
      <c r="I27" s="742" t="s">
        <v>40</v>
      </c>
      <c r="J27" s="748"/>
      <c r="K27" s="748"/>
      <c r="L27" s="748"/>
      <c r="M27" s="749"/>
      <c r="N27" s="742" t="s">
        <v>40</v>
      </c>
      <c r="O27" s="743"/>
      <c r="P27" s="748"/>
      <c r="Q27" s="749"/>
      <c r="R27" s="742" t="s">
        <v>40</v>
      </c>
      <c r="S27" s="748"/>
      <c r="T27" s="748"/>
      <c r="U27" s="749"/>
      <c r="V27" s="742" t="s">
        <v>40</v>
      </c>
      <c r="W27" s="748"/>
      <c r="X27" s="749"/>
    </row>
    <row r="28" spans="1:25" s="66" customFormat="1" ht="42" customHeight="1" x14ac:dyDescent="0.2">
      <c r="A28" s="770"/>
      <c r="B28" s="750" t="s">
        <v>43</v>
      </c>
      <c r="C28" s="751"/>
      <c r="D28" s="751"/>
      <c r="E28" s="752"/>
      <c r="F28" s="759" t="s">
        <v>434</v>
      </c>
      <c r="G28" s="760"/>
      <c r="H28" s="761"/>
      <c r="I28" s="750" t="s">
        <v>47</v>
      </c>
      <c r="J28" s="751"/>
      <c r="K28" s="751"/>
      <c r="L28" s="751"/>
      <c r="M28" s="752"/>
      <c r="N28" s="750" t="s">
        <v>53</v>
      </c>
      <c r="O28" s="751"/>
      <c r="P28" s="751"/>
      <c r="Q28" s="752"/>
      <c r="R28" s="750"/>
      <c r="S28" s="751"/>
      <c r="T28" s="751"/>
      <c r="U28" s="752"/>
      <c r="V28" s="750" t="s">
        <v>61</v>
      </c>
      <c r="W28" s="751"/>
      <c r="X28" s="752"/>
    </row>
    <row r="29" spans="1:25" s="34" customFormat="1" x14ac:dyDescent="0.2">
      <c r="A29" s="770"/>
      <c r="B29" s="742" t="s">
        <v>41</v>
      </c>
      <c r="C29" s="743"/>
      <c r="D29" s="743"/>
      <c r="E29" s="743"/>
      <c r="F29" s="764"/>
      <c r="G29" s="764"/>
      <c r="H29" s="765"/>
      <c r="I29" s="742" t="s">
        <v>41</v>
      </c>
      <c r="J29" s="743"/>
      <c r="K29" s="743"/>
      <c r="L29" s="743"/>
      <c r="M29" s="744"/>
      <c r="N29" s="742" t="s">
        <v>41</v>
      </c>
      <c r="O29" s="743"/>
      <c r="P29" s="743"/>
      <c r="Q29" s="744"/>
      <c r="R29" s="742" t="s">
        <v>41</v>
      </c>
      <c r="S29" s="743"/>
      <c r="T29" s="743"/>
      <c r="U29" s="744"/>
      <c r="V29" s="742" t="s">
        <v>41</v>
      </c>
      <c r="W29" s="743"/>
      <c r="X29" s="744"/>
    </row>
    <row r="30" spans="1:25" s="66" customFormat="1" ht="59.25" customHeight="1" x14ac:dyDescent="0.2">
      <c r="A30" s="771"/>
      <c r="B30" s="750" t="s">
        <v>45</v>
      </c>
      <c r="C30" s="751"/>
      <c r="D30" s="751"/>
      <c r="E30" s="751"/>
      <c r="F30" s="762"/>
      <c r="G30" s="762"/>
      <c r="H30" s="763"/>
      <c r="I30" s="750" t="s">
        <v>48</v>
      </c>
      <c r="J30" s="751"/>
      <c r="K30" s="751"/>
      <c r="L30" s="751"/>
      <c r="M30" s="752"/>
      <c r="N30" s="750" t="s">
        <v>54</v>
      </c>
      <c r="O30" s="751"/>
      <c r="P30" s="751"/>
      <c r="Q30" s="752"/>
      <c r="R30" s="750" t="s">
        <v>58</v>
      </c>
      <c r="S30" s="751"/>
      <c r="T30" s="751"/>
      <c r="U30" s="752"/>
      <c r="V30" s="750" t="s">
        <v>62</v>
      </c>
      <c r="W30" s="751"/>
      <c r="X30" s="752"/>
    </row>
    <row r="31" spans="1:25" s="66" customFormat="1" ht="3.75" customHeight="1" x14ac:dyDescent="0.2">
      <c r="A31" s="498"/>
      <c r="B31" s="499"/>
      <c r="C31" s="499"/>
      <c r="D31" s="499"/>
      <c r="E31" s="499"/>
      <c r="F31" s="500"/>
      <c r="G31" s="500"/>
      <c r="H31" s="500"/>
      <c r="I31" s="499"/>
      <c r="J31" s="499"/>
      <c r="K31" s="499"/>
      <c r="L31" s="499"/>
      <c r="M31" s="499"/>
      <c r="N31" s="499"/>
      <c r="O31" s="499"/>
      <c r="P31" s="499"/>
      <c r="Q31" s="499"/>
      <c r="R31" s="499"/>
      <c r="S31" s="499"/>
      <c r="T31" s="499"/>
      <c r="U31" s="499"/>
      <c r="V31" s="499"/>
      <c r="W31" s="499"/>
      <c r="X31" s="499"/>
    </row>
    <row r="32" spans="1:25" x14ac:dyDescent="0.2">
      <c r="A32" s="2" t="s">
        <v>337</v>
      </c>
      <c r="N32" s="8"/>
      <c r="O32" s="8"/>
      <c r="Y32" s="2"/>
    </row>
    <row r="33" spans="1:29" x14ac:dyDescent="0.2">
      <c r="A33" s="12"/>
      <c r="B33" s="734" t="s">
        <v>145</v>
      </c>
      <c r="C33" s="735"/>
      <c r="D33" s="735"/>
      <c r="E33" s="735"/>
      <c r="F33" s="767"/>
      <c r="G33" s="767"/>
      <c r="H33" s="767"/>
      <c r="I33" s="767"/>
      <c r="J33" s="767"/>
      <c r="K33" s="767"/>
      <c r="L33" s="768"/>
      <c r="N33" s="66"/>
      <c r="O33" s="66"/>
      <c r="P33" s="66"/>
      <c r="Q33" s="66"/>
      <c r="R33" s="66"/>
      <c r="S33" s="66"/>
      <c r="T33" s="66"/>
      <c r="U33" s="66"/>
      <c r="V33" s="66"/>
      <c r="W33" s="66"/>
      <c r="X33" s="66"/>
      <c r="Y33" s="386"/>
    </row>
    <row r="34" spans="1:29" ht="52.5" customHeight="1" x14ac:dyDescent="0.2">
      <c r="A34" s="19" t="s">
        <v>4</v>
      </c>
      <c r="B34" s="13" t="s">
        <v>146</v>
      </c>
      <c r="C34" s="387" t="s">
        <v>295</v>
      </c>
      <c r="D34" s="387" t="s">
        <v>147</v>
      </c>
      <c r="E34" s="387" t="s">
        <v>148</v>
      </c>
      <c r="F34" s="387" t="s">
        <v>152</v>
      </c>
      <c r="G34" s="387" t="s">
        <v>153</v>
      </c>
      <c r="H34" s="387" t="s">
        <v>149</v>
      </c>
      <c r="I34" s="387" t="s">
        <v>154</v>
      </c>
      <c r="J34" s="387" t="s">
        <v>150</v>
      </c>
      <c r="K34" s="387" t="s">
        <v>151</v>
      </c>
      <c r="L34" s="388" t="s">
        <v>338</v>
      </c>
      <c r="N34" s="66"/>
      <c r="O34" s="66"/>
      <c r="P34" s="66"/>
      <c r="Q34" s="66"/>
      <c r="R34" s="66"/>
      <c r="S34" s="66"/>
      <c r="T34" s="66"/>
      <c r="U34" s="66"/>
      <c r="V34" s="66"/>
      <c r="W34" s="66"/>
      <c r="X34" s="66"/>
      <c r="Y34" s="495"/>
      <c r="Z34" s="495"/>
      <c r="AA34" s="496"/>
      <c r="AB34" s="495"/>
      <c r="AC34" s="495"/>
    </row>
    <row r="35" spans="1:29" s="8" customFormat="1" x14ac:dyDescent="0.2">
      <c r="A35" s="20" t="s">
        <v>136</v>
      </c>
      <c r="B35" s="21">
        <v>-33.548000000000002</v>
      </c>
      <c r="C35" s="22">
        <v>73.802000000000007</v>
      </c>
      <c r="D35" s="22">
        <v>5.0919999999999996</v>
      </c>
      <c r="E35" s="22">
        <v>-21.838000000000001</v>
      </c>
      <c r="F35" s="22">
        <v>0.35099999999999998</v>
      </c>
      <c r="G35" s="22">
        <v>81.477000000000004</v>
      </c>
      <c r="H35" s="22"/>
      <c r="I35" s="22"/>
      <c r="J35" s="22">
        <v>102.798</v>
      </c>
      <c r="K35" s="22">
        <v>-29.715</v>
      </c>
      <c r="L35" s="389">
        <f>SUM(B35:K35)</f>
        <v>178.41900000000001</v>
      </c>
      <c r="N35" s="66"/>
      <c r="O35" s="66"/>
      <c r="P35" s="66"/>
      <c r="Q35" s="66"/>
      <c r="R35" s="66"/>
      <c r="S35" s="66"/>
      <c r="T35" s="66"/>
      <c r="U35" s="66"/>
      <c r="V35" s="66"/>
      <c r="W35" s="66"/>
      <c r="X35" s="66"/>
      <c r="Y35" s="393"/>
    </row>
    <row r="36" spans="1:29" x14ac:dyDescent="0.2">
      <c r="A36" s="329" t="s">
        <v>137</v>
      </c>
      <c r="B36" s="330">
        <v>55.155999999999999</v>
      </c>
      <c r="C36" s="114">
        <v>64.387</v>
      </c>
      <c r="D36" s="114">
        <v>21.715</v>
      </c>
      <c r="E36" s="114">
        <v>-26.956</v>
      </c>
      <c r="F36" s="114">
        <v>3.141</v>
      </c>
      <c r="G36" s="114">
        <v>72.314999999999998</v>
      </c>
      <c r="H36" s="114"/>
      <c r="I36" s="114">
        <v>-6.3789999999999996</v>
      </c>
      <c r="J36" s="114">
        <v>64.435000000000002</v>
      </c>
      <c r="K36" s="114">
        <f>-8.681-60.811</f>
        <v>-69.492000000000004</v>
      </c>
      <c r="L36" s="390">
        <f t="shared" ref="L36:L45" si="28">SUM(B36:K36)</f>
        <v>178.322</v>
      </c>
      <c r="N36" s="66"/>
      <c r="O36" s="66"/>
      <c r="P36" s="66"/>
      <c r="Q36" s="66"/>
      <c r="R36" s="66"/>
      <c r="S36" s="66"/>
      <c r="T36" s="66"/>
      <c r="U36" s="66"/>
      <c r="V36" s="66"/>
      <c r="W36" s="66"/>
      <c r="X36" s="66"/>
      <c r="Y36" s="393"/>
    </row>
    <row r="37" spans="1:29" x14ac:dyDescent="0.2">
      <c r="A37" s="329" t="s">
        <v>138</v>
      </c>
      <c r="B37" s="330">
        <v>16.689</v>
      </c>
      <c r="C37" s="114">
        <v>82.218999999999994</v>
      </c>
      <c r="D37" s="114">
        <v>5.4349999999999996</v>
      </c>
      <c r="E37" s="114">
        <v>-21.012</v>
      </c>
      <c r="F37" s="114">
        <v>-0.71899999999999997</v>
      </c>
      <c r="G37" s="114">
        <v>85.994</v>
      </c>
      <c r="H37" s="114">
        <v>80</v>
      </c>
      <c r="I37" s="114">
        <v>-8.4090000000000007</v>
      </c>
      <c r="J37" s="114">
        <v>92.346000000000004</v>
      </c>
      <c r="K37" s="114">
        <f>-9.136-111.643</f>
        <v>-120.779</v>
      </c>
      <c r="L37" s="390">
        <f t="shared" si="28"/>
        <v>211.76400000000001</v>
      </c>
      <c r="N37" s="66"/>
      <c r="O37" s="66"/>
      <c r="P37" s="66"/>
      <c r="Q37" s="66"/>
      <c r="R37" s="66"/>
      <c r="S37" s="66"/>
      <c r="T37" s="66"/>
      <c r="U37" s="66"/>
      <c r="V37" s="66"/>
      <c r="W37" s="66"/>
      <c r="X37" s="66"/>
      <c r="Y37" s="393"/>
    </row>
    <row r="38" spans="1:29" x14ac:dyDescent="0.2">
      <c r="A38" s="340" t="s">
        <v>139</v>
      </c>
      <c r="B38" s="341">
        <v>-51.468000000000004</v>
      </c>
      <c r="C38" s="342">
        <v>71.468000000000004</v>
      </c>
      <c r="D38" s="342">
        <v>2.3620000000000001</v>
      </c>
      <c r="E38" s="342">
        <v>-24.744</v>
      </c>
      <c r="F38" s="342">
        <v>0.182</v>
      </c>
      <c r="G38" s="342">
        <v>117.55200000000001</v>
      </c>
      <c r="H38" s="342"/>
      <c r="I38" s="342">
        <v>-4</v>
      </c>
      <c r="J38" s="342">
        <v>91.486999999999995</v>
      </c>
      <c r="K38" s="342">
        <v>-19.613</v>
      </c>
      <c r="L38" s="391">
        <f t="shared" si="28"/>
        <v>183.226</v>
      </c>
      <c r="N38" s="66"/>
      <c r="O38" s="66"/>
      <c r="P38" s="66"/>
      <c r="Q38" s="66"/>
      <c r="R38" s="66"/>
      <c r="S38" s="66"/>
      <c r="T38" s="66"/>
      <c r="U38" s="66"/>
      <c r="V38" s="66"/>
      <c r="W38" s="66"/>
      <c r="X38" s="66"/>
      <c r="Y38" s="393"/>
    </row>
    <row r="39" spans="1:29" x14ac:dyDescent="0.2">
      <c r="A39" s="350" t="s">
        <v>140</v>
      </c>
      <c r="B39" s="351">
        <v>128.81700000000001</v>
      </c>
      <c r="C39" s="293">
        <v>79.247</v>
      </c>
      <c r="D39" s="293">
        <v>2.1240000000000001</v>
      </c>
      <c r="E39" s="293">
        <v>-20.395</v>
      </c>
      <c r="F39" s="293">
        <v>-7.9740000000000002</v>
      </c>
      <c r="G39" s="293">
        <v>113.9</v>
      </c>
      <c r="H39" s="293"/>
      <c r="I39" s="293">
        <v>-6.6340000000000003</v>
      </c>
      <c r="J39" s="293">
        <v>0.28999999999999998</v>
      </c>
      <c r="K39" s="293">
        <v>-44.500999999999998</v>
      </c>
      <c r="L39" s="392">
        <f t="shared" si="28"/>
        <v>244.87400000000005</v>
      </c>
      <c r="N39" s="66"/>
      <c r="O39" s="66"/>
      <c r="P39" s="66"/>
      <c r="Q39" s="66"/>
      <c r="R39" s="66"/>
      <c r="S39" s="66"/>
      <c r="T39" s="66"/>
      <c r="U39" s="66"/>
      <c r="V39" s="66"/>
      <c r="W39" s="66"/>
      <c r="X39" s="66"/>
      <c r="Y39" s="393"/>
    </row>
    <row r="40" spans="1:29" x14ac:dyDescent="0.2">
      <c r="A40" s="329" t="s">
        <v>141</v>
      </c>
      <c r="B40" s="330">
        <v>2.7360000000000002</v>
      </c>
      <c r="C40" s="114">
        <v>71.626999999999995</v>
      </c>
      <c r="D40" s="114">
        <v>2.0394369999999999</v>
      </c>
      <c r="E40" s="114">
        <v>-9.4179999999999993</v>
      </c>
      <c r="F40" s="114">
        <v>0.06</v>
      </c>
      <c r="G40" s="114">
        <v>116.438</v>
      </c>
      <c r="H40" s="114">
        <v>90</v>
      </c>
      <c r="I40" s="114">
        <v>-9.6050000000000004</v>
      </c>
      <c r="J40" s="114">
        <v>44.579000000000001</v>
      </c>
      <c r="K40" s="114">
        <v>-22.452999999999999</v>
      </c>
      <c r="L40" s="390">
        <f t="shared" si="28"/>
        <v>286.00343700000002</v>
      </c>
      <c r="N40" s="66"/>
      <c r="O40" s="66"/>
      <c r="P40" s="66"/>
      <c r="Q40" s="66"/>
      <c r="R40" s="66"/>
      <c r="S40" s="66"/>
      <c r="T40" s="66"/>
      <c r="U40" s="66"/>
      <c r="V40" s="66"/>
      <c r="W40" s="66"/>
      <c r="X40" s="66"/>
      <c r="Y40" s="393"/>
    </row>
    <row r="41" spans="1:29" x14ac:dyDescent="0.2">
      <c r="A41" s="329" t="s">
        <v>142</v>
      </c>
      <c r="B41" s="330">
        <v>53.616999999999997</v>
      </c>
      <c r="C41" s="114">
        <v>69.099000000000004</v>
      </c>
      <c r="D41" s="114">
        <v>8.5120000000000005</v>
      </c>
      <c r="E41" s="114">
        <v>-6.5819999999999999</v>
      </c>
      <c r="F41" s="114"/>
      <c r="G41" s="114">
        <v>113.786</v>
      </c>
      <c r="H41" s="114"/>
      <c r="I41" s="114">
        <v>-7.048</v>
      </c>
      <c r="J41" s="114">
        <v>80.444000000000003</v>
      </c>
      <c r="K41" s="114">
        <v>-11.516</v>
      </c>
      <c r="L41" s="390">
        <f t="shared" si="28"/>
        <v>300.31200000000001</v>
      </c>
      <c r="N41" s="66"/>
      <c r="O41" s="66"/>
      <c r="P41" s="66"/>
      <c r="Q41" s="66"/>
      <c r="R41" s="66"/>
      <c r="S41" s="66"/>
      <c r="T41" s="66"/>
      <c r="U41" s="66"/>
      <c r="V41" s="66"/>
      <c r="W41" s="66"/>
      <c r="X41" s="66"/>
      <c r="Y41" s="393"/>
    </row>
    <row r="42" spans="1:29" x14ac:dyDescent="0.2">
      <c r="A42" s="340" t="s">
        <v>143</v>
      </c>
      <c r="B42" s="341">
        <v>81.899647000000002</v>
      </c>
      <c r="C42" s="342">
        <v>77.624646999999996</v>
      </c>
      <c r="D42" s="342">
        <v>7.3837799999999998</v>
      </c>
      <c r="E42" s="342">
        <v>-7.7401619999999998</v>
      </c>
      <c r="F42" s="342">
        <v>4.1299679999999999</v>
      </c>
      <c r="G42" s="342">
        <v>110.651741</v>
      </c>
      <c r="H42" s="342">
        <v>40</v>
      </c>
      <c r="I42" s="342">
        <v>-5.1079999999999997</v>
      </c>
      <c r="J42" s="342">
        <v>0.12983700000000001</v>
      </c>
      <c r="K42" s="342">
        <v>-38.150129</v>
      </c>
      <c r="L42" s="391">
        <f>SUM(B42:K42)</f>
        <v>270.82132899999999</v>
      </c>
      <c r="N42" s="66"/>
      <c r="O42" s="66"/>
      <c r="P42" s="66"/>
      <c r="Q42" s="66"/>
      <c r="R42" s="66"/>
      <c r="S42" s="66"/>
      <c r="T42" s="66"/>
      <c r="U42" s="66"/>
      <c r="V42" s="66"/>
      <c r="W42" s="66"/>
      <c r="X42" s="66"/>
      <c r="Y42" s="393"/>
    </row>
    <row r="43" spans="1:29" x14ac:dyDescent="0.2">
      <c r="A43" s="350" t="s">
        <v>441</v>
      </c>
      <c r="B43" s="355">
        <v>134.30065300000001</v>
      </c>
      <c r="C43" s="356">
        <v>77.951887999999997</v>
      </c>
      <c r="D43" s="356">
        <v>4.8252629999999996</v>
      </c>
      <c r="E43" s="356">
        <v>-4.7647000000000002E-2</v>
      </c>
      <c r="F43" s="356">
        <v>-9.1851000000000002E-2</v>
      </c>
      <c r="G43" s="356">
        <v>109.992091</v>
      </c>
      <c r="H43" s="356">
        <v>67</v>
      </c>
      <c r="I43" s="356">
        <v>-5.4298970000000004</v>
      </c>
      <c r="J43" s="356"/>
      <c r="K43" s="356">
        <v>-56.436228999999997</v>
      </c>
      <c r="L43" s="392">
        <f>SUM(B43:K43)</f>
        <v>332.06427100000008</v>
      </c>
      <c r="N43" s="66"/>
      <c r="O43" s="66"/>
      <c r="P43" s="66"/>
      <c r="Q43" s="66"/>
      <c r="R43" s="66"/>
      <c r="S43" s="66"/>
      <c r="T43" s="66"/>
      <c r="U43" s="66"/>
      <c r="V43" s="66"/>
      <c r="W43" s="66"/>
      <c r="X43" s="66"/>
      <c r="Y43" s="393"/>
    </row>
    <row r="44" spans="1:29" x14ac:dyDescent="0.2">
      <c r="A44" s="20" t="s">
        <v>144</v>
      </c>
      <c r="B44" s="27">
        <v>-8.9619999999999997</v>
      </c>
      <c r="C44" s="26">
        <v>113.003</v>
      </c>
      <c r="D44" s="26">
        <v>0.27</v>
      </c>
      <c r="E44" s="26">
        <v>-35.052999999999997</v>
      </c>
      <c r="F44" s="26"/>
      <c r="G44" s="26">
        <v>156.792</v>
      </c>
      <c r="H44" s="26"/>
      <c r="I44" s="26">
        <v>-32.784999999999997</v>
      </c>
      <c r="J44" s="26"/>
      <c r="K44" s="26"/>
      <c r="L44" s="389">
        <f t="shared" ref="L44" si="29">SUM(B44:K44)</f>
        <v>193.26500000000001</v>
      </c>
      <c r="N44" s="66"/>
      <c r="O44" s="66"/>
      <c r="P44" s="66"/>
      <c r="Q44" s="66"/>
      <c r="R44" s="66"/>
      <c r="S44" s="66"/>
      <c r="T44" s="66"/>
      <c r="U44" s="66"/>
      <c r="V44" s="66"/>
      <c r="W44" s="66"/>
      <c r="X44" s="66"/>
      <c r="Y44" s="393"/>
    </row>
    <row r="45" spans="1:29" x14ac:dyDescent="0.2">
      <c r="A45" s="376" t="s">
        <v>442</v>
      </c>
      <c r="B45" s="633">
        <f>-10.405-0.8</f>
        <v>-11.205</v>
      </c>
      <c r="C45" s="634">
        <v>114.753</v>
      </c>
      <c r="D45" s="634">
        <v>0.376</v>
      </c>
      <c r="E45" s="634">
        <v>-30.645</v>
      </c>
      <c r="F45" s="634"/>
      <c r="G45" s="634">
        <v>157.80799999999999</v>
      </c>
      <c r="H45" s="634"/>
      <c r="I45" s="634">
        <v>-27.858000000000001</v>
      </c>
      <c r="J45" s="634"/>
      <c r="K45" s="634"/>
      <c r="L45" s="613">
        <f t="shared" si="28"/>
        <v>203.22899999999998</v>
      </c>
      <c r="N45" s="66"/>
      <c r="O45" s="66"/>
      <c r="P45" s="66"/>
      <c r="Q45" s="66"/>
      <c r="R45" s="66"/>
      <c r="S45" s="66"/>
      <c r="T45" s="66"/>
      <c r="U45" s="66"/>
      <c r="V45" s="66"/>
      <c r="W45" s="66"/>
      <c r="X45" s="66"/>
      <c r="Y45" s="393"/>
    </row>
    <row r="46" spans="1:29" ht="3.75" customHeight="1" x14ac:dyDescent="0.2">
      <c r="A46" s="497"/>
      <c r="B46" s="292"/>
      <c r="C46" s="292"/>
      <c r="D46" s="292"/>
      <c r="E46" s="292"/>
      <c r="F46" s="292"/>
      <c r="G46" s="292"/>
      <c r="H46" s="292"/>
      <c r="I46" s="292"/>
      <c r="J46" s="292"/>
      <c r="K46" s="292"/>
      <c r="L46" s="292"/>
      <c r="N46" s="66"/>
      <c r="O46" s="66"/>
      <c r="P46" s="66"/>
      <c r="Q46" s="66"/>
      <c r="R46" s="66"/>
      <c r="S46" s="66"/>
      <c r="T46" s="66"/>
      <c r="U46" s="66"/>
      <c r="V46" s="66"/>
      <c r="W46" s="66"/>
      <c r="X46" s="66"/>
      <c r="Y46" s="393"/>
    </row>
    <row r="47" spans="1:29" ht="25.5" customHeight="1" x14ac:dyDescent="0.2">
      <c r="A47" s="713" t="s">
        <v>459</v>
      </c>
      <c r="B47" s="711"/>
      <c r="C47" s="711"/>
      <c r="D47" s="711"/>
      <c r="E47" s="711"/>
      <c r="F47" s="711"/>
      <c r="G47" s="711"/>
      <c r="H47" s="711"/>
      <c r="I47" s="711"/>
      <c r="J47" s="711"/>
      <c r="K47" s="711"/>
      <c r="L47" s="711"/>
      <c r="M47" s="711"/>
      <c r="N47" s="711"/>
      <c r="O47" s="711"/>
      <c r="P47" s="711"/>
      <c r="Q47" s="711"/>
      <c r="R47" s="711"/>
      <c r="S47" s="711"/>
      <c r="T47" s="711"/>
      <c r="U47" s="711"/>
      <c r="V47" s="711"/>
      <c r="W47" s="711"/>
      <c r="X47" s="711"/>
    </row>
    <row r="48" spans="1:29" ht="12.75" customHeight="1" x14ac:dyDescent="0.2">
      <c r="A48" s="501"/>
      <c r="B48" s="766" t="s">
        <v>293</v>
      </c>
      <c r="C48" s="735"/>
      <c r="D48" s="735"/>
      <c r="E48" s="735"/>
      <c r="F48" s="767"/>
      <c r="G48" s="767"/>
      <c r="H48" s="767"/>
      <c r="I48" s="767"/>
      <c r="J48" s="767"/>
      <c r="K48" s="767"/>
      <c r="L48" s="767"/>
      <c r="M48" s="767"/>
      <c r="N48" s="768"/>
      <c r="O48" s="766" t="s">
        <v>294</v>
      </c>
      <c r="P48" s="735"/>
      <c r="Q48" s="768"/>
      <c r="R48" s="517" t="s">
        <v>299</v>
      </c>
      <c r="W48" s="34"/>
      <c r="Y48" s="2"/>
    </row>
    <row r="49" spans="1:25" ht="52.5" customHeight="1" x14ac:dyDescent="0.2">
      <c r="A49" s="502" t="s">
        <v>4</v>
      </c>
      <c r="B49" s="13" t="s">
        <v>281</v>
      </c>
      <c r="C49" s="387" t="s">
        <v>282</v>
      </c>
      <c r="D49" s="387" t="s">
        <v>283</v>
      </c>
      <c r="E49" s="387" t="s">
        <v>284</v>
      </c>
      <c r="F49" s="387" t="s">
        <v>296</v>
      </c>
      <c r="G49" s="387" t="s">
        <v>280</v>
      </c>
      <c r="H49" s="387" t="s">
        <v>285</v>
      </c>
      <c r="I49" s="387" t="s">
        <v>286</v>
      </c>
      <c r="J49" s="387" t="s">
        <v>287</v>
      </c>
      <c r="K49" s="387" t="s">
        <v>297</v>
      </c>
      <c r="L49" s="387" t="s">
        <v>298</v>
      </c>
      <c r="M49" s="387" t="s">
        <v>288</v>
      </c>
      <c r="N49" s="509" t="s">
        <v>289</v>
      </c>
      <c r="O49" s="510" t="s">
        <v>291</v>
      </c>
      <c r="P49" s="387" t="s">
        <v>292</v>
      </c>
      <c r="Q49" s="509" t="s">
        <v>290</v>
      </c>
      <c r="R49" s="516" t="s">
        <v>300</v>
      </c>
      <c r="W49" s="34"/>
      <c r="Y49" s="2"/>
    </row>
    <row r="50" spans="1:25" x14ac:dyDescent="0.2">
      <c r="A50" s="503" t="s">
        <v>136</v>
      </c>
      <c r="B50" s="21">
        <v>2489.0942679999998</v>
      </c>
      <c r="C50" s="26">
        <v>0.34699999999999998</v>
      </c>
      <c r="D50" s="26">
        <f t="shared" ref="D50:D58" si="30">C35*-1</f>
        <v>-73.802000000000007</v>
      </c>
      <c r="E50" s="26"/>
      <c r="F50" s="22">
        <f t="shared" ref="F50:F59" si="31">D35*-1</f>
        <v>-5.0919999999999996</v>
      </c>
      <c r="G50" s="26">
        <v>-74.629098999999997</v>
      </c>
      <c r="H50" s="26">
        <v>-0.35076200000000002</v>
      </c>
      <c r="I50" s="22">
        <f t="shared" ref="I50:I58" si="32">G35*-1</f>
        <v>-81.477000000000004</v>
      </c>
      <c r="J50" s="26">
        <v>-394.10447299999998</v>
      </c>
      <c r="K50" s="22">
        <f t="shared" ref="K50:K57" si="33">J35*-1</f>
        <v>-102.798</v>
      </c>
      <c r="L50" s="22"/>
      <c r="M50" s="26">
        <v>-152.97842499999999</v>
      </c>
      <c r="N50" s="511">
        <f>SUM(B50:M50)</f>
        <v>1604.2095089999998</v>
      </c>
      <c r="O50" s="27">
        <v>373.21336200000002</v>
      </c>
      <c r="P50" s="26">
        <v>-94.056938000000002</v>
      </c>
      <c r="Q50" s="511">
        <f>O50+P50</f>
        <v>279.15642400000002</v>
      </c>
      <c r="R50" s="389">
        <f>N50+Q50</f>
        <v>1883.3659329999998</v>
      </c>
      <c r="T50" s="46"/>
      <c r="U50" s="515"/>
      <c r="X50" s="34"/>
      <c r="Y50" s="2"/>
    </row>
    <row r="51" spans="1:25" x14ac:dyDescent="0.2">
      <c r="A51" s="504" t="s">
        <v>137</v>
      </c>
      <c r="B51" s="330">
        <v>2511.1173829999998</v>
      </c>
      <c r="C51" s="335">
        <v>0.123</v>
      </c>
      <c r="D51" s="335">
        <f t="shared" si="30"/>
        <v>-64.387</v>
      </c>
      <c r="E51" s="335"/>
      <c r="F51" s="114">
        <f t="shared" si="31"/>
        <v>-21.715</v>
      </c>
      <c r="G51" s="335">
        <v>-77.920834999999997</v>
      </c>
      <c r="H51" s="335">
        <v>-3.1413129999999998</v>
      </c>
      <c r="I51" s="114">
        <f t="shared" si="32"/>
        <v>-72.314999999999998</v>
      </c>
      <c r="J51" s="335">
        <v>-424.64742000000001</v>
      </c>
      <c r="K51" s="114">
        <f t="shared" si="33"/>
        <v>-64.435000000000002</v>
      </c>
      <c r="L51" s="114"/>
      <c r="M51" s="335">
        <v>-153.45814999999999</v>
      </c>
      <c r="N51" s="512">
        <f t="shared" ref="N51:N60" si="34">SUM(B51:M51)</f>
        <v>1629.2206649999996</v>
      </c>
      <c r="O51" s="334">
        <v>378.942048</v>
      </c>
      <c r="P51" s="335">
        <v>-114.743596</v>
      </c>
      <c r="Q51" s="512">
        <f>O51+P51</f>
        <v>264.19845199999997</v>
      </c>
      <c r="R51" s="390">
        <f t="shared" ref="R51:R60" si="35">N51+Q51</f>
        <v>1893.4191169999995</v>
      </c>
      <c r="T51" s="46"/>
      <c r="U51" s="515"/>
      <c r="X51" s="34"/>
      <c r="Y51" s="2"/>
    </row>
    <row r="52" spans="1:25" x14ac:dyDescent="0.2">
      <c r="A52" s="504" t="s">
        <v>138</v>
      </c>
      <c r="B52" s="330">
        <v>2639.2050049999998</v>
      </c>
      <c r="C52" s="335">
        <v>-2.0285000000000002</v>
      </c>
      <c r="D52" s="335">
        <f t="shared" si="30"/>
        <v>-82.218999999999994</v>
      </c>
      <c r="E52" s="335"/>
      <c r="F52" s="335">
        <f t="shared" si="31"/>
        <v>-5.4349999999999996</v>
      </c>
      <c r="G52" s="335">
        <v>-78.578926999999993</v>
      </c>
      <c r="H52" s="335">
        <v>0.71900600000000003</v>
      </c>
      <c r="I52" s="335">
        <f t="shared" si="32"/>
        <v>-85.994</v>
      </c>
      <c r="J52" s="335">
        <v>-430.993833</v>
      </c>
      <c r="K52" s="335">
        <f t="shared" si="33"/>
        <v>-92.346000000000004</v>
      </c>
      <c r="L52" s="335">
        <f>H37*-1</f>
        <v>-80</v>
      </c>
      <c r="M52" s="335">
        <v>-153.86630500000001</v>
      </c>
      <c r="N52" s="512">
        <f t="shared" si="34"/>
        <v>1628.4624459999995</v>
      </c>
      <c r="O52" s="334">
        <v>415.72009100000002</v>
      </c>
      <c r="P52" s="335">
        <v>-121.05976699999999</v>
      </c>
      <c r="Q52" s="512">
        <f t="shared" ref="Q52:Q60" si="36">O52+P52</f>
        <v>294.66032400000006</v>
      </c>
      <c r="R52" s="390">
        <f t="shared" si="35"/>
        <v>1923.1227699999995</v>
      </c>
      <c r="T52" s="46"/>
      <c r="U52" s="46"/>
      <c r="X52" s="34"/>
      <c r="Y52" s="2"/>
    </row>
    <row r="53" spans="1:25" x14ac:dyDescent="0.2">
      <c r="A53" s="505" t="s">
        <v>139</v>
      </c>
      <c r="B53" s="341">
        <v>2445.1795929999998</v>
      </c>
      <c r="C53" s="347">
        <v>-1.3875</v>
      </c>
      <c r="D53" s="347">
        <f t="shared" si="30"/>
        <v>-71.468000000000004</v>
      </c>
      <c r="E53" s="347"/>
      <c r="F53" s="347">
        <f t="shared" si="31"/>
        <v>-2.3620000000000001</v>
      </c>
      <c r="G53" s="347">
        <v>-9.3277070000000002</v>
      </c>
      <c r="H53" s="347">
        <v>-0.18221300000000001</v>
      </c>
      <c r="I53" s="347">
        <f t="shared" si="32"/>
        <v>-117.55200000000001</v>
      </c>
      <c r="J53" s="347">
        <v>-350.83417600000001</v>
      </c>
      <c r="K53" s="347">
        <f t="shared" si="33"/>
        <v>-91.486999999999995</v>
      </c>
      <c r="L53" s="347"/>
      <c r="M53" s="347">
        <v>-185.640165</v>
      </c>
      <c r="N53" s="513">
        <f t="shared" si="34"/>
        <v>1614.9388319999998</v>
      </c>
      <c r="O53" s="346">
        <v>355.89042000000001</v>
      </c>
      <c r="P53" s="347">
        <v>-25.424285999999999</v>
      </c>
      <c r="Q53" s="513">
        <f t="shared" si="36"/>
        <v>330.46613400000001</v>
      </c>
      <c r="R53" s="391">
        <f t="shared" si="35"/>
        <v>1945.4049659999998</v>
      </c>
      <c r="T53" s="46"/>
      <c r="U53" s="46"/>
      <c r="X53" s="34"/>
      <c r="Y53" s="2"/>
    </row>
    <row r="54" spans="1:25" x14ac:dyDescent="0.2">
      <c r="A54" s="506" t="s">
        <v>140</v>
      </c>
      <c r="B54" s="351">
        <v>2391.066139</v>
      </c>
      <c r="C54" s="356">
        <v>0.84499999999999997</v>
      </c>
      <c r="D54" s="356">
        <f t="shared" si="30"/>
        <v>-79.247</v>
      </c>
      <c r="E54" s="356"/>
      <c r="F54" s="356">
        <f t="shared" si="31"/>
        <v>-2.1240000000000001</v>
      </c>
      <c r="G54" s="356">
        <v>-0.45317200000000002</v>
      </c>
      <c r="H54" s="356">
        <v>7.973992</v>
      </c>
      <c r="I54" s="356">
        <f t="shared" si="32"/>
        <v>-113.9</v>
      </c>
      <c r="J54" s="356">
        <v>-360.91478899999998</v>
      </c>
      <c r="K54" s="356">
        <f t="shared" si="33"/>
        <v>-0.28999999999999998</v>
      </c>
      <c r="L54" s="356"/>
      <c r="M54" s="356">
        <v>-203.19072499999999</v>
      </c>
      <c r="N54" s="514">
        <f t="shared" si="34"/>
        <v>1639.7654450000005</v>
      </c>
      <c r="O54" s="355">
        <v>368.09407299999998</v>
      </c>
      <c r="P54" s="356">
        <v>-22.478652</v>
      </c>
      <c r="Q54" s="514">
        <f t="shared" si="36"/>
        <v>345.61542099999997</v>
      </c>
      <c r="R54" s="392">
        <f t="shared" si="35"/>
        <v>1985.3808660000004</v>
      </c>
      <c r="T54" s="46"/>
      <c r="U54" s="46"/>
      <c r="X54" s="34"/>
      <c r="Y54" s="2"/>
    </row>
    <row r="55" spans="1:25" x14ac:dyDescent="0.2">
      <c r="A55" s="504" t="s">
        <v>141</v>
      </c>
      <c r="B55" s="330">
        <v>2512.3739820000001</v>
      </c>
      <c r="C55" s="335">
        <v>0.88100000000000001</v>
      </c>
      <c r="D55" s="114">
        <f t="shared" si="30"/>
        <v>-71.626999999999995</v>
      </c>
      <c r="E55" s="335"/>
      <c r="F55" s="114">
        <f t="shared" si="31"/>
        <v>-2.0394369999999999</v>
      </c>
      <c r="G55" s="335">
        <v>0.103687</v>
      </c>
      <c r="H55" s="335">
        <v>-5.5E-2</v>
      </c>
      <c r="I55" s="335">
        <f t="shared" si="32"/>
        <v>-116.438</v>
      </c>
      <c r="J55" s="335">
        <v>-364.75270499999999</v>
      </c>
      <c r="K55" s="335">
        <f t="shared" si="33"/>
        <v>-44.579000000000001</v>
      </c>
      <c r="L55" s="335">
        <f>H40*-1</f>
        <v>-90</v>
      </c>
      <c r="M55" s="335">
        <v>-187.70606799999999</v>
      </c>
      <c r="N55" s="512">
        <f t="shared" si="34"/>
        <v>1636.1614590000001</v>
      </c>
      <c r="O55" s="334">
        <v>384.72850299999999</v>
      </c>
      <c r="P55" s="335">
        <v>-23.905677000000001</v>
      </c>
      <c r="Q55" s="512">
        <f t="shared" si="36"/>
        <v>360.82282599999996</v>
      </c>
      <c r="R55" s="390">
        <f t="shared" si="35"/>
        <v>1996.984285</v>
      </c>
      <c r="T55" s="46"/>
      <c r="U55" s="515"/>
      <c r="X55" s="34"/>
      <c r="Y55" s="2"/>
    </row>
    <row r="56" spans="1:25" s="8" customFormat="1" x14ac:dyDescent="0.2">
      <c r="A56" s="504" t="s">
        <v>142</v>
      </c>
      <c r="B56" s="334">
        <v>2456.7899849999999</v>
      </c>
      <c r="C56" s="335">
        <v>-2.25</v>
      </c>
      <c r="D56" s="335">
        <f t="shared" si="30"/>
        <v>-69.099000000000004</v>
      </c>
      <c r="E56" s="335">
        <v>-3.1134550000000001</v>
      </c>
      <c r="F56" s="335">
        <f t="shared" si="31"/>
        <v>-8.5120000000000005</v>
      </c>
      <c r="G56" s="335">
        <v>-0.49172199999999999</v>
      </c>
      <c r="H56" s="335"/>
      <c r="I56" s="335">
        <f t="shared" si="32"/>
        <v>-113.786</v>
      </c>
      <c r="J56" s="335">
        <v>-356.866376</v>
      </c>
      <c r="K56" s="335">
        <f t="shared" si="33"/>
        <v>-80.444000000000003</v>
      </c>
      <c r="L56" s="335"/>
      <c r="M56" s="335">
        <v>-177.018404</v>
      </c>
      <c r="N56" s="512">
        <f t="shared" si="34"/>
        <v>1645.2090279999993</v>
      </c>
      <c r="O56" s="334">
        <v>381.15840800000001</v>
      </c>
      <c r="P56" s="335">
        <v>-19.886614999999999</v>
      </c>
      <c r="Q56" s="512">
        <f t="shared" si="36"/>
        <v>361.271793</v>
      </c>
      <c r="R56" s="390">
        <f t="shared" si="35"/>
        <v>2006.4808209999992</v>
      </c>
      <c r="T56" s="393"/>
      <c r="U56" s="518"/>
      <c r="X56" s="519"/>
    </row>
    <row r="57" spans="1:25" x14ac:dyDescent="0.2">
      <c r="A57" s="505" t="s">
        <v>143</v>
      </c>
      <c r="B57" s="341">
        <v>2543.7549960000001</v>
      </c>
      <c r="C57" s="347">
        <v>-15.693</v>
      </c>
      <c r="D57" s="342">
        <f t="shared" si="30"/>
        <v>-77.624646999999996</v>
      </c>
      <c r="E57" s="347">
        <v>-5.5036389999999997</v>
      </c>
      <c r="F57" s="347">
        <f t="shared" si="31"/>
        <v>-7.3837799999999998</v>
      </c>
      <c r="G57" s="347">
        <v>-0.115467</v>
      </c>
      <c r="H57" s="347">
        <v>-4.1299679999999999</v>
      </c>
      <c r="I57" s="347">
        <f t="shared" si="32"/>
        <v>-110.651741</v>
      </c>
      <c r="J57" s="347">
        <v>-369.67685999999998</v>
      </c>
      <c r="K57" s="347">
        <f t="shared" si="33"/>
        <v>-0.12983700000000001</v>
      </c>
      <c r="L57" s="347">
        <f>H42*-1</f>
        <v>-40</v>
      </c>
      <c r="M57" s="347">
        <v>-185.825164</v>
      </c>
      <c r="N57" s="513">
        <f t="shared" si="34"/>
        <v>1727.0208929999992</v>
      </c>
      <c r="O57" s="346">
        <v>339.44033300000001</v>
      </c>
      <c r="P57" s="347">
        <v>-21.509755999999999</v>
      </c>
      <c r="Q57" s="513">
        <f t="shared" si="36"/>
        <v>317.93057700000003</v>
      </c>
      <c r="R57" s="391">
        <f t="shared" si="35"/>
        <v>2044.9514699999993</v>
      </c>
      <c r="T57" s="46"/>
      <c r="U57" s="518"/>
      <c r="X57" s="34"/>
      <c r="Y57" s="2"/>
    </row>
    <row r="58" spans="1:25" x14ac:dyDescent="0.2">
      <c r="A58" s="507" t="s">
        <v>441</v>
      </c>
      <c r="B58" s="355">
        <v>2780.2687089999999</v>
      </c>
      <c r="C58" s="356">
        <v>18.524999999999999</v>
      </c>
      <c r="D58" s="356">
        <f t="shared" si="30"/>
        <v>-77.951887999999997</v>
      </c>
      <c r="E58" s="356">
        <v>-4.0284469999999999</v>
      </c>
      <c r="F58" s="356">
        <f t="shared" si="31"/>
        <v>-4.8252629999999996</v>
      </c>
      <c r="G58" s="356">
        <v>0.18679799999999999</v>
      </c>
      <c r="H58" s="356">
        <v>9.1851000000000002E-2</v>
      </c>
      <c r="I58" s="356">
        <f t="shared" si="32"/>
        <v>-109.992091</v>
      </c>
      <c r="J58" s="356">
        <v>-378.56676700000003</v>
      </c>
      <c r="K58" s="356"/>
      <c r="L58" s="356">
        <f>H43*-1</f>
        <v>-67</v>
      </c>
      <c r="M58" s="356">
        <v>-186.915763</v>
      </c>
      <c r="N58" s="514">
        <f>SUM(B58:M58)</f>
        <v>1969.7921390000001</v>
      </c>
      <c r="O58" s="355">
        <v>322.73647199999999</v>
      </c>
      <c r="P58" s="356">
        <v>-20.217624000000001</v>
      </c>
      <c r="Q58" s="514">
        <f t="shared" si="36"/>
        <v>302.51884799999999</v>
      </c>
      <c r="R58" s="392">
        <f t="shared" si="35"/>
        <v>2272.3109870000003</v>
      </c>
      <c r="T58" s="46"/>
      <c r="U58" s="46"/>
      <c r="X58" s="34"/>
      <c r="Y58" s="2"/>
    </row>
    <row r="59" spans="1:25" x14ac:dyDescent="0.2">
      <c r="A59" s="614" t="s">
        <v>144</v>
      </c>
      <c r="B59" s="27">
        <v>2684.5830000000001</v>
      </c>
      <c r="C59" s="26"/>
      <c r="D59" s="26">
        <f t="shared" ref="D59" si="37">C44*-1</f>
        <v>-113.003</v>
      </c>
      <c r="E59" s="26"/>
      <c r="F59" s="26">
        <f t="shared" si="31"/>
        <v>-0.27</v>
      </c>
      <c r="G59" s="26"/>
      <c r="H59" s="26"/>
      <c r="I59" s="26">
        <f t="shared" ref="I59" si="38">G44*-1</f>
        <v>-156.792</v>
      </c>
      <c r="J59" s="26">
        <v>-378.584</v>
      </c>
      <c r="K59" s="26"/>
      <c r="L59" s="26"/>
      <c r="M59" s="26">
        <v>-197.964</v>
      </c>
      <c r="N59" s="511">
        <f t="shared" ref="N59" si="39">SUM(B59:M59)</f>
        <v>1837.97</v>
      </c>
      <c r="O59" s="27">
        <v>420.42700000000002</v>
      </c>
      <c r="P59" s="26">
        <v>-21.765000000000001</v>
      </c>
      <c r="Q59" s="511">
        <f t="shared" ref="Q59" si="40">O59+P59</f>
        <v>398.66200000000003</v>
      </c>
      <c r="R59" s="389">
        <f t="shared" ref="R59" si="41">N59+Q59</f>
        <v>2236.6320000000001</v>
      </c>
      <c r="T59" s="46"/>
      <c r="U59" s="46"/>
      <c r="X59" s="34"/>
      <c r="Y59" s="2"/>
    </row>
    <row r="60" spans="1:25" x14ac:dyDescent="0.2">
      <c r="A60" s="508" t="s">
        <v>442</v>
      </c>
      <c r="B60" s="633">
        <f>2813.523+0.8</f>
        <v>2814.3230000000003</v>
      </c>
      <c r="C60" s="634"/>
      <c r="D60" s="634">
        <f t="shared" ref="D60" si="42">C45*-1</f>
        <v>-114.753</v>
      </c>
      <c r="E60" s="634"/>
      <c r="F60" s="634">
        <f t="shared" ref="F60" si="43">D45*-1</f>
        <v>-0.376</v>
      </c>
      <c r="G60" s="634"/>
      <c r="H60" s="634"/>
      <c r="I60" s="634">
        <f t="shared" ref="I60" si="44">G45*-1</f>
        <v>-157.80799999999999</v>
      </c>
      <c r="J60" s="634">
        <v>-387.322</v>
      </c>
      <c r="K60" s="634"/>
      <c r="L60" s="634"/>
      <c r="M60" s="634">
        <v>-204.11799999999999</v>
      </c>
      <c r="N60" s="643">
        <f t="shared" si="34"/>
        <v>1949.9459999999999</v>
      </c>
      <c r="O60" s="633">
        <v>451.154</v>
      </c>
      <c r="P60" s="634">
        <v>-21.765000000000001</v>
      </c>
      <c r="Q60" s="643">
        <f t="shared" si="36"/>
        <v>429.38900000000001</v>
      </c>
      <c r="R60" s="613">
        <f t="shared" si="35"/>
        <v>2379.335</v>
      </c>
      <c r="T60" s="46"/>
      <c r="U60" s="46"/>
      <c r="X60" s="34"/>
      <c r="Y60" s="2"/>
    </row>
    <row r="61" spans="1:25" x14ac:dyDescent="0.2">
      <c r="X61" s="34"/>
      <c r="Y61" s="2"/>
    </row>
  </sheetData>
  <mergeCells count="69">
    <mergeCell ref="B48:N48"/>
    <mergeCell ref="O48:Q48"/>
    <mergeCell ref="B33:L33"/>
    <mergeCell ref="A21:A30"/>
    <mergeCell ref="N26:Q26"/>
    <mergeCell ref="B23:E23"/>
    <mergeCell ref="F23:H23"/>
    <mergeCell ref="I23:M23"/>
    <mergeCell ref="N23:Q23"/>
    <mergeCell ref="B27:E27"/>
    <mergeCell ref="F27:H27"/>
    <mergeCell ref="B25:E25"/>
    <mergeCell ref="F25:H25"/>
    <mergeCell ref="I25:M25"/>
    <mergeCell ref="N25:Q25"/>
    <mergeCell ref="B24:E24"/>
    <mergeCell ref="V30:X30"/>
    <mergeCell ref="B30:H30"/>
    <mergeCell ref="B29:H29"/>
    <mergeCell ref="I30:M30"/>
    <mergeCell ref="N30:Q30"/>
    <mergeCell ref="R30:U30"/>
    <mergeCell ref="I29:M29"/>
    <mergeCell ref="N29:Q29"/>
    <mergeCell ref="R29:U29"/>
    <mergeCell ref="V29:X29"/>
    <mergeCell ref="F24:H24"/>
    <mergeCell ref="I24:M24"/>
    <mergeCell ref="N24:Q24"/>
    <mergeCell ref="R24:U24"/>
    <mergeCell ref="B28:E28"/>
    <mergeCell ref="F28:H28"/>
    <mergeCell ref="I28:M28"/>
    <mergeCell ref="N28:Q28"/>
    <mergeCell ref="R28:U28"/>
    <mergeCell ref="R25:U25"/>
    <mergeCell ref="B26:E26"/>
    <mergeCell ref="F26:H26"/>
    <mergeCell ref="I26:M26"/>
    <mergeCell ref="R26:U26"/>
    <mergeCell ref="I27:M27"/>
    <mergeCell ref="N27:Q27"/>
    <mergeCell ref="R27:U27"/>
    <mergeCell ref="V28:X28"/>
    <mergeCell ref="I21:M21"/>
    <mergeCell ref="N21:Q21"/>
    <mergeCell ref="R21:U21"/>
    <mergeCell ref="R23:U23"/>
    <mergeCell ref="V27:X27"/>
    <mergeCell ref="V23:X23"/>
    <mergeCell ref="V24:X24"/>
    <mergeCell ref="V25:X25"/>
    <mergeCell ref="V26:X26"/>
    <mergeCell ref="A47:X47"/>
    <mergeCell ref="B4:E4"/>
    <mergeCell ref="V4:X4"/>
    <mergeCell ref="R4:U4"/>
    <mergeCell ref="F4:H4"/>
    <mergeCell ref="I4:M4"/>
    <mergeCell ref="N4:Q4"/>
    <mergeCell ref="V21:X21"/>
    <mergeCell ref="B22:E22"/>
    <mergeCell ref="F22:H22"/>
    <mergeCell ref="I22:M22"/>
    <mergeCell ref="N22:Q22"/>
    <mergeCell ref="R22:U22"/>
    <mergeCell ref="V22:X22"/>
    <mergeCell ref="B21:E21"/>
    <mergeCell ref="F21:H21"/>
  </mergeCells>
  <pageMargins left="0.19685039370078741" right="0.19685039370078741" top="0.19685039370078741" bottom="0.39370078740157483" header="0.31496062992125984" footer="0.19685039370078741"/>
  <pageSetup paperSize="8" scale="80" orientation="landscape" r:id="rId1"/>
  <headerFooter>
    <oddFooter>&amp;L&amp;"Arial Narrow,Standard"DFG, 7. Dezember 2022</oddFooter>
  </headerFooter>
  <ignoredErrors>
    <ignoredError sqref="Q16 Q12:Q1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6"/>
  <sheetViews>
    <sheetView showGridLines="0" zoomScale="150" zoomScaleNormal="150" zoomScaleSheetLayoutView="150" workbookViewId="0">
      <pane xSplit="1" ySplit="3" topLeftCell="L4" activePane="bottomRight" state="frozen"/>
      <selection pane="topRight" activeCell="B1" sqref="B1"/>
      <selection pane="bottomLeft" activeCell="A4" sqref="A4"/>
      <selection pane="bottomRight"/>
    </sheetView>
  </sheetViews>
  <sheetFormatPr baseColWidth="10" defaultColWidth="11.42578125" defaultRowHeight="12.75" x14ac:dyDescent="0.2"/>
  <cols>
    <col min="1" max="1" width="65.140625" style="2" customWidth="1"/>
    <col min="2" max="28" width="5.5703125" style="413" customWidth="1"/>
    <col min="29" max="16384" width="11.42578125" style="2"/>
  </cols>
  <sheetData>
    <row r="1" spans="1:30" ht="15.75" x14ac:dyDescent="0.25">
      <c r="A1" s="1" t="s">
        <v>162</v>
      </c>
    </row>
    <row r="2" spans="1:30" s="7" customFormat="1" ht="21.75" customHeight="1" x14ac:dyDescent="0.2">
      <c r="A2" s="552" t="s">
        <v>391</v>
      </c>
      <c r="B2" s="414" t="s">
        <v>163</v>
      </c>
      <c r="C2" s="415" t="s">
        <v>164</v>
      </c>
      <c r="D2" s="415" t="s">
        <v>165</v>
      </c>
      <c r="E2" s="416" t="s">
        <v>166</v>
      </c>
      <c r="F2" s="414" t="s">
        <v>167</v>
      </c>
      <c r="G2" s="415" t="s">
        <v>168</v>
      </c>
      <c r="H2" s="415" t="s">
        <v>169</v>
      </c>
      <c r="I2" s="416" t="s">
        <v>170</v>
      </c>
      <c r="J2" s="414" t="s">
        <v>171</v>
      </c>
      <c r="K2" s="415" t="s">
        <v>172</v>
      </c>
      <c r="L2" s="415" t="s">
        <v>173</v>
      </c>
      <c r="M2" s="416" t="s">
        <v>174</v>
      </c>
      <c r="N2" s="414" t="s">
        <v>175</v>
      </c>
      <c r="O2" s="415" t="s">
        <v>176</v>
      </c>
      <c r="P2" s="415" t="s">
        <v>177</v>
      </c>
      <c r="Q2" s="416" t="s">
        <v>178</v>
      </c>
      <c r="R2" s="414" t="s">
        <v>179</v>
      </c>
      <c r="S2" s="415" t="s">
        <v>180</v>
      </c>
      <c r="T2" s="415" t="s">
        <v>181</v>
      </c>
      <c r="U2" s="416" t="s">
        <v>182</v>
      </c>
      <c r="V2" s="414" t="s">
        <v>183</v>
      </c>
      <c r="W2" s="415" t="s">
        <v>184</v>
      </c>
      <c r="X2" s="415" t="s">
        <v>185</v>
      </c>
      <c r="Y2" s="416" t="s">
        <v>186</v>
      </c>
      <c r="Z2" s="473" t="s">
        <v>187</v>
      </c>
      <c r="AA2" s="473" t="s">
        <v>437</v>
      </c>
      <c r="AB2" s="417" t="s">
        <v>460</v>
      </c>
    </row>
    <row r="3" spans="1:30" s="7" customFormat="1" ht="21.75" customHeight="1" x14ac:dyDescent="0.2">
      <c r="A3" s="418"/>
      <c r="B3" s="822" t="s">
        <v>188</v>
      </c>
      <c r="C3" s="823"/>
      <c r="D3" s="823"/>
      <c r="E3" s="824"/>
      <c r="F3" s="822" t="s">
        <v>188</v>
      </c>
      <c r="G3" s="823"/>
      <c r="H3" s="823"/>
      <c r="I3" s="824"/>
      <c r="J3" s="822" t="s">
        <v>188</v>
      </c>
      <c r="K3" s="823"/>
      <c r="L3" s="823"/>
      <c r="M3" s="824"/>
      <c r="N3" s="822" t="s">
        <v>189</v>
      </c>
      <c r="O3" s="823"/>
      <c r="P3" s="823"/>
      <c r="Q3" s="824"/>
      <c r="R3" s="822" t="s">
        <v>190</v>
      </c>
      <c r="S3" s="823"/>
      <c r="T3" s="823"/>
      <c r="U3" s="824"/>
      <c r="V3" s="822" t="s">
        <v>190</v>
      </c>
      <c r="W3" s="823"/>
      <c r="X3" s="823"/>
      <c r="Y3" s="824"/>
      <c r="Z3" s="778" t="s">
        <v>272</v>
      </c>
      <c r="AA3" s="779"/>
      <c r="AB3" s="780"/>
    </row>
    <row r="4" spans="1:30" s="424" customFormat="1" ht="16.7" customHeight="1" x14ac:dyDescent="0.2">
      <c r="A4" s="419" t="s">
        <v>191</v>
      </c>
      <c r="B4" s="420">
        <v>278757</v>
      </c>
      <c r="C4" s="421">
        <v>282229</v>
      </c>
      <c r="D4" s="421">
        <v>281970</v>
      </c>
      <c r="E4" s="422">
        <v>281440</v>
      </c>
      <c r="F4" s="420">
        <v>289015</v>
      </c>
      <c r="G4" s="421">
        <v>264886</v>
      </c>
      <c r="H4" s="421">
        <v>260622</v>
      </c>
      <c r="I4" s="422">
        <v>258718</v>
      </c>
      <c r="J4" s="420">
        <v>268360</v>
      </c>
      <c r="K4" s="421">
        <v>244814</v>
      </c>
      <c r="L4" s="421">
        <v>251926</v>
      </c>
      <c r="M4" s="422">
        <v>266628</v>
      </c>
      <c r="N4" s="420">
        <v>278578</v>
      </c>
      <c r="O4" s="421">
        <v>284035</v>
      </c>
      <c r="P4" s="421">
        <v>289897</v>
      </c>
      <c r="Q4" s="422">
        <v>292836</v>
      </c>
      <c r="R4" s="420">
        <v>291349</v>
      </c>
      <c r="S4" s="421">
        <v>291612</v>
      </c>
      <c r="T4" s="421">
        <v>295317</v>
      </c>
      <c r="U4" s="422">
        <v>299186</v>
      </c>
      <c r="V4" s="420">
        <v>309387</v>
      </c>
      <c r="W4" s="421">
        <v>312790</v>
      </c>
      <c r="X4" s="421">
        <v>319072</v>
      </c>
      <c r="Y4" s="422">
        <v>324817</v>
      </c>
      <c r="Z4" s="474">
        <v>330453</v>
      </c>
      <c r="AA4" s="474">
        <v>336914</v>
      </c>
      <c r="AB4" s="423">
        <f>353186+700</f>
        <v>353886</v>
      </c>
    </row>
    <row r="5" spans="1:30" s="429" customFormat="1" ht="16.7" customHeight="1" x14ac:dyDescent="0.2">
      <c r="A5" s="425" t="s">
        <v>192</v>
      </c>
      <c r="B5" s="426" t="s">
        <v>193</v>
      </c>
      <c r="C5" s="427" t="s">
        <v>193</v>
      </c>
      <c r="D5" s="427" t="s">
        <v>193</v>
      </c>
      <c r="E5" s="428" t="s">
        <v>193</v>
      </c>
      <c r="F5" s="426" t="s">
        <v>193</v>
      </c>
      <c r="G5" s="427" t="s">
        <v>193</v>
      </c>
      <c r="H5" s="427" t="s">
        <v>193</v>
      </c>
      <c r="I5" s="428" t="s">
        <v>193</v>
      </c>
      <c r="J5" s="426" t="s">
        <v>193</v>
      </c>
      <c r="K5" s="427" t="s">
        <v>193</v>
      </c>
      <c r="L5" s="427" t="s">
        <v>193</v>
      </c>
      <c r="M5" s="428" t="s">
        <v>193</v>
      </c>
      <c r="N5" s="426" t="s">
        <v>193</v>
      </c>
      <c r="O5" s="427" t="s">
        <v>193</v>
      </c>
      <c r="P5" s="427" t="s">
        <v>193</v>
      </c>
      <c r="Q5" s="428" t="s">
        <v>193</v>
      </c>
      <c r="R5" s="426" t="s">
        <v>193</v>
      </c>
      <c r="S5" s="427" t="s">
        <v>193</v>
      </c>
      <c r="T5" s="427" t="s">
        <v>193</v>
      </c>
      <c r="U5" s="428" t="s">
        <v>193</v>
      </c>
      <c r="V5" s="426" t="s">
        <v>193</v>
      </c>
      <c r="W5" s="427" t="s">
        <v>193</v>
      </c>
      <c r="X5" s="427" t="s">
        <v>193</v>
      </c>
      <c r="Y5" s="428" t="s">
        <v>193</v>
      </c>
      <c r="Z5" s="474">
        <v>321924</v>
      </c>
      <c r="AA5" s="474">
        <v>328000</v>
      </c>
      <c r="AB5" s="423">
        <f>343549+675</f>
        <v>344224</v>
      </c>
    </row>
    <row r="6" spans="1:30" s="429" customFormat="1" ht="16.7" customHeight="1" x14ac:dyDescent="0.2">
      <c r="A6" s="430" t="s">
        <v>194</v>
      </c>
      <c r="B6" s="431">
        <v>5600.5</v>
      </c>
      <c r="C6" s="432">
        <f>C4-B4</f>
        <v>3472</v>
      </c>
      <c r="D6" s="432">
        <f t="shared" ref="D6:X6" si="0">D4-C4</f>
        <v>-259</v>
      </c>
      <c r="E6" s="433">
        <f t="shared" si="0"/>
        <v>-530</v>
      </c>
      <c r="F6" s="431">
        <f>F4-E4</f>
        <v>7575</v>
      </c>
      <c r="G6" s="432">
        <f t="shared" si="0"/>
        <v>-24129</v>
      </c>
      <c r="H6" s="432">
        <f t="shared" si="0"/>
        <v>-4264</v>
      </c>
      <c r="I6" s="433">
        <f t="shared" si="0"/>
        <v>-1904</v>
      </c>
      <c r="J6" s="431">
        <f>J4-I4</f>
        <v>9642</v>
      </c>
      <c r="K6" s="432">
        <f t="shared" si="0"/>
        <v>-23546</v>
      </c>
      <c r="L6" s="432">
        <f t="shared" si="0"/>
        <v>7112</v>
      </c>
      <c r="M6" s="433">
        <f>M4-L4</f>
        <v>14702</v>
      </c>
      <c r="N6" s="431">
        <f>N4-M4</f>
        <v>11950</v>
      </c>
      <c r="O6" s="432">
        <f t="shared" si="0"/>
        <v>5457</v>
      </c>
      <c r="P6" s="432">
        <f t="shared" si="0"/>
        <v>5862</v>
      </c>
      <c r="Q6" s="433">
        <f>Q4-P4</f>
        <v>2939</v>
      </c>
      <c r="R6" s="431">
        <f>R4-Q4</f>
        <v>-1487</v>
      </c>
      <c r="S6" s="432">
        <f t="shared" si="0"/>
        <v>263</v>
      </c>
      <c r="T6" s="432">
        <f t="shared" si="0"/>
        <v>3705</v>
      </c>
      <c r="U6" s="433">
        <f t="shared" si="0"/>
        <v>3869</v>
      </c>
      <c r="V6" s="431">
        <f t="shared" si="0"/>
        <v>10201</v>
      </c>
      <c r="W6" s="432">
        <f t="shared" si="0"/>
        <v>3403</v>
      </c>
      <c r="X6" s="432">
        <f t="shared" si="0"/>
        <v>6282</v>
      </c>
      <c r="Y6" s="433">
        <f>Y4-X4</f>
        <v>5745</v>
      </c>
      <c r="Z6" s="475">
        <f>Z5-317303</f>
        <v>4621</v>
      </c>
      <c r="AA6" s="475">
        <f>AA5-Z5</f>
        <v>6076</v>
      </c>
      <c r="AB6" s="434">
        <f>AB5-AA5</f>
        <v>16224</v>
      </c>
      <c r="AD6" s="435"/>
    </row>
    <row r="7" spans="1:30" s="429" customFormat="1" ht="16.7" customHeight="1" x14ac:dyDescent="0.2">
      <c r="A7" s="430" t="s">
        <v>195</v>
      </c>
      <c r="B7" s="436">
        <v>2.0500000000000001E-2</v>
      </c>
      <c r="C7" s="437">
        <f>C6/B4</f>
        <v>1.2455292602517605E-2</v>
      </c>
      <c r="D7" s="437">
        <f>D6/C4</f>
        <v>-9.1769449631327752E-4</v>
      </c>
      <c r="E7" s="438">
        <f>E6/D4</f>
        <v>-1.8796325850267759E-3</v>
      </c>
      <c r="F7" s="436">
        <f>F6/E4</f>
        <v>2.6915150653780556E-2</v>
      </c>
      <c r="G7" s="437">
        <f>G6/F4</f>
        <v>-8.3487016244831583E-2</v>
      </c>
      <c r="H7" s="437">
        <f t="shared" ref="H7:X7" si="1">H6/G4</f>
        <v>-1.6097490996126635E-2</v>
      </c>
      <c r="I7" s="438">
        <f t="shared" si="1"/>
        <v>-7.3055996807637113E-3</v>
      </c>
      <c r="J7" s="436">
        <f>J6/I4</f>
        <v>3.7268377151956959E-2</v>
      </c>
      <c r="K7" s="437">
        <f t="shared" si="1"/>
        <v>-8.774034878521389E-2</v>
      </c>
      <c r="L7" s="437">
        <f t="shared" si="1"/>
        <v>2.9050626189678696E-2</v>
      </c>
      <c r="M7" s="438">
        <f t="shared" si="1"/>
        <v>5.835840683375277E-2</v>
      </c>
      <c r="N7" s="436">
        <f>N6/M4</f>
        <v>4.4818998754819449E-2</v>
      </c>
      <c r="O7" s="437">
        <f t="shared" si="1"/>
        <v>1.9588768675200482E-2</v>
      </c>
      <c r="P7" s="437">
        <f t="shared" si="1"/>
        <v>2.0638301617758373E-2</v>
      </c>
      <c r="Q7" s="438">
        <f t="shared" si="1"/>
        <v>1.0138083526217933E-2</v>
      </c>
      <c r="R7" s="436">
        <f>R6/Q4</f>
        <v>-5.0779275772104525E-3</v>
      </c>
      <c r="S7" s="437">
        <f t="shared" si="1"/>
        <v>9.0269745219650663E-4</v>
      </c>
      <c r="T7" s="437">
        <f t="shared" si="1"/>
        <v>1.2705238467552775E-2</v>
      </c>
      <c r="U7" s="438">
        <f t="shared" si="1"/>
        <v>1.3101176024407671E-2</v>
      </c>
      <c r="V7" s="436">
        <f t="shared" si="1"/>
        <v>3.4095846730796228E-2</v>
      </c>
      <c r="W7" s="437">
        <f t="shared" si="1"/>
        <v>1.0999169325149409E-2</v>
      </c>
      <c r="X7" s="437">
        <f t="shared" si="1"/>
        <v>2.0083762268614726E-2</v>
      </c>
      <c r="Y7" s="438">
        <f>Y6/X4</f>
        <v>1.80053404874135E-2</v>
      </c>
      <c r="Z7" s="476">
        <f>Z6/317303</f>
        <v>1.4563366876455628E-2</v>
      </c>
      <c r="AA7" s="476">
        <f>AA6/Z5</f>
        <v>1.887401995502044E-2</v>
      </c>
      <c r="AB7" s="439">
        <f>AB6/AA5</f>
        <v>4.9463414634146344E-2</v>
      </c>
    </row>
    <row r="8" spans="1:30" s="429" customFormat="1" ht="16.7" customHeight="1" x14ac:dyDescent="0.2">
      <c r="A8" s="425" t="s">
        <v>196</v>
      </c>
      <c r="B8" s="440" t="s">
        <v>193</v>
      </c>
      <c r="C8" s="441" t="s">
        <v>193</v>
      </c>
      <c r="D8" s="441" t="s">
        <v>193</v>
      </c>
      <c r="E8" s="442" t="s">
        <v>193</v>
      </c>
      <c r="F8" s="440" t="s">
        <v>193</v>
      </c>
      <c r="G8" s="441" t="s">
        <v>193</v>
      </c>
      <c r="H8" s="441" t="s">
        <v>193</v>
      </c>
      <c r="I8" s="442" t="s">
        <v>193</v>
      </c>
      <c r="J8" s="440" t="s">
        <v>197</v>
      </c>
      <c r="K8" s="441" t="s">
        <v>198</v>
      </c>
      <c r="L8" s="441" t="s">
        <v>199</v>
      </c>
      <c r="M8" s="442" t="s">
        <v>200</v>
      </c>
      <c r="N8" s="440" t="s">
        <v>201</v>
      </c>
      <c r="O8" s="441" t="s">
        <v>202</v>
      </c>
      <c r="P8" s="441" t="s">
        <v>199</v>
      </c>
      <c r="Q8" s="442" t="s">
        <v>203</v>
      </c>
      <c r="R8" s="440">
        <v>-765</v>
      </c>
      <c r="S8" s="441">
        <v>-227</v>
      </c>
      <c r="T8" s="441">
        <v>-884</v>
      </c>
      <c r="U8" s="442">
        <v>-1321</v>
      </c>
      <c r="V8" s="440">
        <v>-3372</v>
      </c>
      <c r="W8" s="441">
        <v>-423</v>
      </c>
      <c r="X8" s="441">
        <v>-520</v>
      </c>
      <c r="Y8" s="442">
        <v>-199</v>
      </c>
      <c r="Z8" s="477">
        <v>-283</v>
      </c>
      <c r="AA8" s="477">
        <v>-1492</v>
      </c>
      <c r="AB8" s="443">
        <v>-2025</v>
      </c>
    </row>
    <row r="9" spans="1:30" s="429" customFormat="1" ht="16.7" customHeight="1" x14ac:dyDescent="0.2">
      <c r="A9" s="425" t="s">
        <v>204</v>
      </c>
      <c r="B9" s="440" t="s">
        <v>193</v>
      </c>
      <c r="C9" s="441" t="s">
        <v>193</v>
      </c>
      <c r="D9" s="441" t="s">
        <v>193</v>
      </c>
      <c r="E9" s="442" t="s">
        <v>193</v>
      </c>
      <c r="F9" s="440" t="s">
        <v>193</v>
      </c>
      <c r="G9" s="441" t="s">
        <v>193</v>
      </c>
      <c r="H9" s="441" t="s">
        <v>193</v>
      </c>
      <c r="I9" s="442" t="s">
        <v>193</v>
      </c>
      <c r="J9" s="440" t="s">
        <v>193</v>
      </c>
      <c r="K9" s="441" t="s">
        <v>193</v>
      </c>
      <c r="L9" s="441" t="s">
        <v>193</v>
      </c>
      <c r="M9" s="442" t="s">
        <v>193</v>
      </c>
      <c r="N9" s="440" t="s">
        <v>193</v>
      </c>
      <c r="O9" s="441" t="s">
        <v>193</v>
      </c>
      <c r="P9" s="441" t="s">
        <v>193</v>
      </c>
      <c r="Q9" s="442" t="s">
        <v>193</v>
      </c>
      <c r="R9" s="431"/>
      <c r="S9" s="432"/>
      <c r="T9" s="432"/>
      <c r="U9" s="433">
        <v>151</v>
      </c>
      <c r="V9" s="431"/>
      <c r="W9" s="432"/>
      <c r="X9" s="432"/>
      <c r="Y9" s="433">
        <v>729</v>
      </c>
      <c r="Z9" s="475">
        <v>407</v>
      </c>
      <c r="AA9" s="475">
        <v>69</v>
      </c>
      <c r="AB9" s="434">
        <v>435</v>
      </c>
    </row>
    <row r="10" spans="1:30" s="429" customFormat="1" ht="16.7" customHeight="1" x14ac:dyDescent="0.2">
      <c r="A10" s="425" t="s">
        <v>205</v>
      </c>
      <c r="B10" s="440" t="s">
        <v>193</v>
      </c>
      <c r="C10" s="441" t="s">
        <v>193</v>
      </c>
      <c r="D10" s="441" t="s">
        <v>193</v>
      </c>
      <c r="E10" s="442" t="s">
        <v>193</v>
      </c>
      <c r="F10" s="440" t="s">
        <v>193</v>
      </c>
      <c r="G10" s="441" t="s">
        <v>193</v>
      </c>
      <c r="H10" s="441" t="s">
        <v>193</v>
      </c>
      <c r="I10" s="442" t="s">
        <v>193</v>
      </c>
      <c r="J10" s="440" t="s">
        <v>193</v>
      </c>
      <c r="K10" s="441" t="s">
        <v>193</v>
      </c>
      <c r="L10" s="441" t="s">
        <v>193</v>
      </c>
      <c r="M10" s="442" t="s">
        <v>193</v>
      </c>
      <c r="N10" s="440" t="s">
        <v>193</v>
      </c>
      <c r="O10" s="441" t="s">
        <v>193</v>
      </c>
      <c r="P10" s="441" t="s">
        <v>193</v>
      </c>
      <c r="Q10" s="442" t="s">
        <v>193</v>
      </c>
      <c r="R10" s="431">
        <v>-4459</v>
      </c>
      <c r="S10" s="432"/>
      <c r="T10" s="432"/>
      <c r="U10" s="433">
        <v>-500</v>
      </c>
      <c r="V10" s="431">
        <v>-4382</v>
      </c>
      <c r="W10" s="432"/>
      <c r="X10" s="432">
        <v>-3978</v>
      </c>
      <c r="Y10" s="433">
        <v>-3294</v>
      </c>
      <c r="Z10" s="475">
        <v>-2650</v>
      </c>
      <c r="AA10" s="475">
        <v>-992</v>
      </c>
      <c r="AB10" s="434">
        <v>-2975</v>
      </c>
    </row>
    <row r="11" spans="1:30" s="429" customFormat="1" ht="16.7" customHeight="1" x14ac:dyDescent="0.2">
      <c r="A11" s="425" t="s">
        <v>461</v>
      </c>
      <c r="B11" s="440" t="s">
        <v>193</v>
      </c>
      <c r="C11" s="441" t="s">
        <v>193</v>
      </c>
      <c r="D11" s="441" t="s">
        <v>193</v>
      </c>
      <c r="E11" s="442" t="s">
        <v>193</v>
      </c>
      <c r="F11" s="440" t="s">
        <v>193</v>
      </c>
      <c r="G11" s="441" t="s">
        <v>193</v>
      </c>
      <c r="H11" s="441" t="s">
        <v>193</v>
      </c>
      <c r="I11" s="442" t="s">
        <v>193</v>
      </c>
      <c r="J11" s="440" t="s">
        <v>193</v>
      </c>
      <c r="K11" s="441" t="s">
        <v>193</v>
      </c>
      <c r="L11" s="441" t="s">
        <v>193</v>
      </c>
      <c r="M11" s="442" t="s">
        <v>193</v>
      </c>
      <c r="N11" s="440" t="s">
        <v>193</v>
      </c>
      <c r="O11" s="441" t="s">
        <v>193</v>
      </c>
      <c r="P11" s="441" t="s">
        <v>193</v>
      </c>
      <c r="Q11" s="442" t="s">
        <v>193</v>
      </c>
      <c r="R11" s="431"/>
      <c r="S11" s="432"/>
      <c r="T11" s="432"/>
      <c r="U11" s="433"/>
      <c r="V11" s="431"/>
      <c r="W11" s="432"/>
      <c r="X11" s="432"/>
      <c r="Y11" s="433"/>
      <c r="Z11" s="475"/>
      <c r="AA11" s="475"/>
      <c r="AB11" s="434">
        <v>1400</v>
      </c>
    </row>
    <row r="12" spans="1:30" s="429" customFormat="1" ht="16.7" customHeight="1" x14ac:dyDescent="0.2">
      <c r="A12" s="444" t="s">
        <v>478</v>
      </c>
      <c r="B12" s="440" t="s">
        <v>206</v>
      </c>
      <c r="C12" s="441"/>
      <c r="D12" s="441"/>
      <c r="E12" s="442"/>
      <c r="F12" s="440" t="s">
        <v>207</v>
      </c>
      <c r="G12" s="441" t="s">
        <v>208</v>
      </c>
      <c r="H12" s="441" t="s">
        <v>209</v>
      </c>
      <c r="I12" s="442"/>
      <c r="J12" s="440" t="s">
        <v>210</v>
      </c>
      <c r="K12" s="441" t="s">
        <v>211</v>
      </c>
      <c r="L12" s="441" t="s">
        <v>212</v>
      </c>
      <c r="M12" s="442" t="s">
        <v>213</v>
      </c>
      <c r="N12" s="440" t="s">
        <v>214</v>
      </c>
      <c r="O12" s="441"/>
      <c r="P12" s="441" t="s">
        <v>215</v>
      </c>
      <c r="Q12" s="442"/>
      <c r="R12" s="440"/>
      <c r="S12" s="441"/>
      <c r="T12" s="441"/>
      <c r="U12" s="442"/>
      <c r="V12" s="440"/>
      <c r="W12" s="441"/>
      <c r="X12" s="441"/>
      <c r="Y12" s="442"/>
      <c r="Z12" s="477"/>
      <c r="AA12" s="477"/>
      <c r="AB12" s="443">
        <f>-8440-675</f>
        <v>-9115</v>
      </c>
    </row>
    <row r="13" spans="1:30" s="429" customFormat="1" ht="16.7" customHeight="1" x14ac:dyDescent="0.2">
      <c r="A13" s="444" t="s">
        <v>216</v>
      </c>
      <c r="B13" s="440" t="s">
        <v>217</v>
      </c>
      <c r="C13" s="432"/>
      <c r="D13" s="432"/>
      <c r="E13" s="433"/>
      <c r="F13" s="431"/>
      <c r="G13" s="441" t="s">
        <v>218</v>
      </c>
      <c r="H13" s="432"/>
      <c r="I13" s="433"/>
      <c r="J13" s="440" t="s">
        <v>219</v>
      </c>
      <c r="K13" s="432"/>
      <c r="L13" s="432"/>
      <c r="M13" s="433" t="s">
        <v>220</v>
      </c>
      <c r="N13" s="431"/>
      <c r="O13" s="432"/>
      <c r="P13" s="432"/>
      <c r="Q13" s="433"/>
      <c r="R13" s="431">
        <v>5100</v>
      </c>
      <c r="S13" s="432">
        <v>1200</v>
      </c>
      <c r="T13" s="432"/>
      <c r="U13" s="433"/>
      <c r="V13" s="431"/>
      <c r="W13" s="432"/>
      <c r="X13" s="432"/>
      <c r="Y13" s="433"/>
      <c r="Z13" s="475"/>
      <c r="AA13" s="475"/>
      <c r="AB13" s="434"/>
    </row>
    <row r="14" spans="1:30" s="424" customFormat="1" ht="16.149999999999999" customHeight="1" x14ac:dyDescent="0.2">
      <c r="A14" s="445" t="s">
        <v>221</v>
      </c>
      <c r="B14" s="440" t="s">
        <v>193</v>
      </c>
      <c r="C14" s="441" t="s">
        <v>193</v>
      </c>
      <c r="D14" s="441" t="s">
        <v>193</v>
      </c>
      <c r="E14" s="442" t="s">
        <v>193</v>
      </c>
      <c r="F14" s="440" t="s">
        <v>193</v>
      </c>
      <c r="G14" s="441" t="s">
        <v>193</v>
      </c>
      <c r="H14" s="441" t="s">
        <v>193</v>
      </c>
      <c r="I14" s="442" t="s">
        <v>193</v>
      </c>
      <c r="J14" s="440" t="s">
        <v>193</v>
      </c>
      <c r="K14" s="441" t="s">
        <v>193</v>
      </c>
      <c r="L14" s="441" t="s">
        <v>193</v>
      </c>
      <c r="M14" s="442" t="s">
        <v>193</v>
      </c>
      <c r="N14" s="440" t="s">
        <v>193</v>
      </c>
      <c r="O14" s="441" t="s">
        <v>193</v>
      </c>
      <c r="P14" s="441" t="s">
        <v>193</v>
      </c>
      <c r="Q14" s="442" t="s">
        <v>193</v>
      </c>
      <c r="R14" s="420">
        <f>SUM(R6,R8,R10,R13,R9,R12,R11)</f>
        <v>-1611</v>
      </c>
      <c r="S14" s="421">
        <f t="shared" ref="S14:AA14" si="2">SUM(S6,S8,S10,S13,S9,S12,S11)</f>
        <v>1236</v>
      </c>
      <c r="T14" s="421">
        <f t="shared" si="2"/>
        <v>2821</v>
      </c>
      <c r="U14" s="422">
        <f t="shared" si="2"/>
        <v>2199</v>
      </c>
      <c r="V14" s="420">
        <f t="shared" si="2"/>
        <v>2447</v>
      </c>
      <c r="W14" s="421">
        <f t="shared" si="2"/>
        <v>2980</v>
      </c>
      <c r="X14" s="421">
        <f t="shared" si="2"/>
        <v>1784</v>
      </c>
      <c r="Y14" s="422">
        <f t="shared" si="2"/>
        <v>2981</v>
      </c>
      <c r="Z14" s="478">
        <f t="shared" si="2"/>
        <v>2095</v>
      </c>
      <c r="AA14" s="474">
        <f t="shared" si="2"/>
        <v>3661</v>
      </c>
      <c r="AB14" s="423">
        <f>SUM(AB6,AB8,AB10,AB13,AB9,AB12,AB11)</f>
        <v>3944</v>
      </c>
    </row>
    <row r="15" spans="1:30" s="424" customFormat="1" ht="16.149999999999999" customHeight="1" x14ac:dyDescent="0.2">
      <c r="A15" s="419" t="s">
        <v>222</v>
      </c>
      <c r="B15" s="440" t="s">
        <v>193</v>
      </c>
      <c r="C15" s="441" t="s">
        <v>193</v>
      </c>
      <c r="D15" s="441" t="s">
        <v>193</v>
      </c>
      <c r="E15" s="442" t="s">
        <v>193</v>
      </c>
      <c r="F15" s="440" t="s">
        <v>193</v>
      </c>
      <c r="G15" s="441" t="s">
        <v>193</v>
      </c>
      <c r="H15" s="441" t="s">
        <v>193</v>
      </c>
      <c r="I15" s="442" t="s">
        <v>193</v>
      </c>
      <c r="J15" s="440" t="s">
        <v>193</v>
      </c>
      <c r="K15" s="441" t="s">
        <v>193</v>
      </c>
      <c r="L15" s="441" t="s">
        <v>193</v>
      </c>
      <c r="M15" s="442" t="s">
        <v>193</v>
      </c>
      <c r="N15" s="440" t="s">
        <v>193</v>
      </c>
      <c r="O15" s="441" t="s">
        <v>193</v>
      </c>
      <c r="P15" s="441" t="s">
        <v>193</v>
      </c>
      <c r="Q15" s="442" t="s">
        <v>193</v>
      </c>
      <c r="R15" s="446">
        <f>R14/Q4</f>
        <v>-5.5013727820349958E-3</v>
      </c>
      <c r="S15" s="447">
        <f t="shared" ref="S15:Y15" si="3">S14/R4</f>
        <v>4.2423347943531644E-3</v>
      </c>
      <c r="T15" s="447">
        <f t="shared" si="3"/>
        <v>9.6738131489787806E-3</v>
      </c>
      <c r="U15" s="447">
        <f t="shared" si="3"/>
        <v>7.4462357398998365E-3</v>
      </c>
      <c r="V15" s="446">
        <f t="shared" si="3"/>
        <v>8.1788586364335229E-3</v>
      </c>
      <c r="W15" s="447">
        <f t="shared" si="3"/>
        <v>9.6319496294285153E-3</v>
      </c>
      <c r="X15" s="447">
        <f t="shared" si="3"/>
        <v>5.7035071453690979E-3</v>
      </c>
      <c r="Y15" s="447">
        <f t="shared" si="3"/>
        <v>9.3427188847658212E-3</v>
      </c>
      <c r="Z15" s="479">
        <f>Z14/317303</f>
        <v>6.6025218797174942E-3</v>
      </c>
      <c r="AA15" s="615">
        <f>AA14/Z5</f>
        <v>1.1372249350778445E-2</v>
      </c>
      <c r="AB15" s="481">
        <f>AB14/AA5</f>
        <v>1.2024390243902439E-2</v>
      </c>
    </row>
    <row r="16" spans="1:30" s="424" customFormat="1" ht="16.149999999999999" customHeight="1" x14ac:dyDescent="0.2">
      <c r="A16" s="419" t="s">
        <v>273</v>
      </c>
      <c r="B16" s="440" t="s">
        <v>193</v>
      </c>
      <c r="C16" s="441" t="s">
        <v>193</v>
      </c>
      <c r="D16" s="441" t="s">
        <v>193</v>
      </c>
      <c r="E16" s="442" t="s">
        <v>193</v>
      </c>
      <c r="F16" s="440" t="s">
        <v>193</v>
      </c>
      <c r="G16" s="441" t="s">
        <v>193</v>
      </c>
      <c r="H16" s="441" t="s">
        <v>193</v>
      </c>
      <c r="I16" s="442" t="s">
        <v>193</v>
      </c>
      <c r="J16" s="440" t="s">
        <v>193</v>
      </c>
      <c r="K16" s="441" t="s">
        <v>193</v>
      </c>
      <c r="L16" s="441" t="s">
        <v>193</v>
      </c>
      <c r="M16" s="442" t="s">
        <v>193</v>
      </c>
      <c r="N16" s="440" t="s">
        <v>193</v>
      </c>
      <c r="O16" s="441" t="s">
        <v>193</v>
      </c>
      <c r="P16" s="441" t="s">
        <v>193</v>
      </c>
      <c r="Q16" s="442" t="s">
        <v>193</v>
      </c>
      <c r="R16" s="440" t="s">
        <v>193</v>
      </c>
      <c r="S16" s="441" t="s">
        <v>193</v>
      </c>
      <c r="T16" s="441" t="s">
        <v>193</v>
      </c>
      <c r="U16" s="442" t="s">
        <v>193</v>
      </c>
      <c r="V16" s="440" t="s">
        <v>193</v>
      </c>
      <c r="W16" s="441" t="s">
        <v>193</v>
      </c>
      <c r="X16" s="441" t="s">
        <v>193</v>
      </c>
      <c r="Y16" s="442" t="s">
        <v>193</v>
      </c>
      <c r="Z16" s="781">
        <f>AVERAGE(Z15:AB15)</f>
        <v>9.9997204914661266E-3</v>
      </c>
      <c r="AA16" s="782"/>
      <c r="AB16" s="783"/>
    </row>
    <row r="17" spans="1:28" s="424" customFormat="1" ht="16.7" customHeight="1" x14ac:dyDescent="0.2">
      <c r="A17" s="448" t="s">
        <v>223</v>
      </c>
      <c r="B17" s="440" t="s">
        <v>193</v>
      </c>
      <c r="C17" s="441" t="s">
        <v>193</v>
      </c>
      <c r="D17" s="441" t="s">
        <v>193</v>
      </c>
      <c r="E17" s="442" t="s">
        <v>193</v>
      </c>
      <c r="F17" s="440" t="s">
        <v>193</v>
      </c>
      <c r="G17" s="441" t="s">
        <v>193</v>
      </c>
      <c r="H17" s="441" t="s">
        <v>193</v>
      </c>
      <c r="I17" s="442" t="s">
        <v>193</v>
      </c>
      <c r="J17" s="440" t="s">
        <v>224</v>
      </c>
      <c r="K17" s="441" t="s">
        <v>225</v>
      </c>
      <c r="L17" s="441" t="s">
        <v>226</v>
      </c>
      <c r="M17" s="442" t="s">
        <v>227</v>
      </c>
      <c r="N17" s="440" t="s">
        <v>228</v>
      </c>
      <c r="O17" s="441" t="s">
        <v>229</v>
      </c>
      <c r="P17" s="441" t="s">
        <v>230</v>
      </c>
      <c r="Q17" s="442" t="s">
        <v>225</v>
      </c>
      <c r="R17" s="440">
        <v>1274</v>
      </c>
      <c r="S17" s="441">
        <v>645</v>
      </c>
      <c r="T17" s="441">
        <v>1203</v>
      </c>
      <c r="U17" s="442">
        <v>1183</v>
      </c>
      <c r="V17" s="440">
        <v>1858</v>
      </c>
      <c r="W17" s="441">
        <v>2194</v>
      </c>
      <c r="X17" s="441">
        <v>2182</v>
      </c>
      <c r="Y17" s="442">
        <v>1862</v>
      </c>
      <c r="Z17" s="477">
        <v>3283</v>
      </c>
      <c r="AA17" s="477">
        <v>2984</v>
      </c>
      <c r="AB17" s="443">
        <v>2493</v>
      </c>
    </row>
    <row r="18" spans="1:28" s="424" customFormat="1" ht="16.7" customHeight="1" x14ac:dyDescent="0.2">
      <c r="A18" s="448" t="s">
        <v>231</v>
      </c>
      <c r="B18" s="440" t="s">
        <v>193</v>
      </c>
      <c r="C18" s="441" t="s">
        <v>193</v>
      </c>
      <c r="D18" s="441" t="s">
        <v>193</v>
      </c>
      <c r="E18" s="442" t="s">
        <v>193</v>
      </c>
      <c r="F18" s="440" t="s">
        <v>193</v>
      </c>
      <c r="G18" s="441" t="s">
        <v>193</v>
      </c>
      <c r="H18" s="441" t="s">
        <v>193</v>
      </c>
      <c r="I18" s="442" t="s">
        <v>193</v>
      </c>
      <c r="J18" s="440" t="s">
        <v>193</v>
      </c>
      <c r="K18" s="441" t="s">
        <v>193</v>
      </c>
      <c r="L18" s="441" t="s">
        <v>193</v>
      </c>
      <c r="M18" s="442" t="s">
        <v>193</v>
      </c>
      <c r="N18" s="440" t="s">
        <v>193</v>
      </c>
      <c r="O18" s="441" t="s">
        <v>193</v>
      </c>
      <c r="P18" s="441" t="s">
        <v>193</v>
      </c>
      <c r="Q18" s="442" t="s">
        <v>193</v>
      </c>
      <c r="R18" s="440"/>
      <c r="S18" s="441">
        <v>264</v>
      </c>
      <c r="T18" s="441"/>
      <c r="U18" s="442">
        <v>166</v>
      </c>
      <c r="V18" s="440">
        <v>120</v>
      </c>
      <c r="W18" s="441">
        <v>88</v>
      </c>
      <c r="X18" s="441">
        <v>14</v>
      </c>
      <c r="Y18" s="442">
        <v>143</v>
      </c>
      <c r="Z18" s="477" t="s">
        <v>193</v>
      </c>
      <c r="AA18" s="477" t="s">
        <v>193</v>
      </c>
      <c r="AB18" s="443" t="s">
        <v>193</v>
      </c>
    </row>
    <row r="19" spans="1:28" s="429" customFormat="1" ht="16.7" customHeight="1" x14ac:dyDescent="0.2">
      <c r="A19" s="449" t="s">
        <v>232</v>
      </c>
      <c r="B19" s="440" t="s">
        <v>193</v>
      </c>
      <c r="C19" s="441" t="s">
        <v>193</v>
      </c>
      <c r="D19" s="441" t="s">
        <v>193</v>
      </c>
      <c r="E19" s="442" t="s">
        <v>193</v>
      </c>
      <c r="F19" s="440" t="s">
        <v>193</v>
      </c>
      <c r="G19" s="441" t="s">
        <v>193</v>
      </c>
      <c r="H19" s="441" t="s">
        <v>193</v>
      </c>
      <c r="I19" s="442" t="s">
        <v>193</v>
      </c>
      <c r="J19" s="440" t="s">
        <v>193</v>
      </c>
      <c r="K19" s="441" t="s">
        <v>193</v>
      </c>
      <c r="L19" s="441" t="s">
        <v>193</v>
      </c>
      <c r="M19" s="442" t="s">
        <v>193</v>
      </c>
      <c r="N19" s="440" t="s">
        <v>233</v>
      </c>
      <c r="O19" s="441" t="s">
        <v>234</v>
      </c>
      <c r="P19" s="441" t="s">
        <v>235</v>
      </c>
      <c r="Q19" s="442" t="s">
        <v>235</v>
      </c>
      <c r="R19" s="440">
        <v>2800</v>
      </c>
      <c r="S19" s="441">
        <v>2911</v>
      </c>
      <c r="T19" s="441">
        <v>2916</v>
      </c>
      <c r="U19" s="442">
        <v>2980</v>
      </c>
      <c r="V19" s="440">
        <v>3090</v>
      </c>
      <c r="W19" s="441">
        <v>3086</v>
      </c>
      <c r="X19" s="441">
        <v>3083</v>
      </c>
      <c r="Y19" s="442">
        <v>3147</v>
      </c>
      <c r="Z19" s="477">
        <v>1992</v>
      </c>
      <c r="AA19" s="477">
        <v>2025</v>
      </c>
      <c r="AB19" s="443">
        <v>3212</v>
      </c>
    </row>
    <row r="20" spans="1:28" s="429" customFormat="1" ht="16.7" customHeight="1" x14ac:dyDescent="0.2">
      <c r="A20" s="448" t="s">
        <v>274</v>
      </c>
      <c r="B20" s="482" t="s">
        <v>193</v>
      </c>
      <c r="C20" s="483" t="s">
        <v>193</v>
      </c>
      <c r="D20" s="483" t="s">
        <v>193</v>
      </c>
      <c r="E20" s="484" t="s">
        <v>193</v>
      </c>
      <c r="F20" s="482" t="s">
        <v>193</v>
      </c>
      <c r="G20" s="483" t="s">
        <v>193</v>
      </c>
      <c r="H20" s="483" t="s">
        <v>193</v>
      </c>
      <c r="I20" s="484" t="s">
        <v>193</v>
      </c>
      <c r="J20" s="482" t="s">
        <v>193</v>
      </c>
      <c r="K20" s="483" t="s">
        <v>193</v>
      </c>
      <c r="L20" s="483" t="s">
        <v>193</v>
      </c>
      <c r="M20" s="484" t="s">
        <v>193</v>
      </c>
      <c r="N20" s="482" t="s">
        <v>193</v>
      </c>
      <c r="O20" s="483" t="s">
        <v>193</v>
      </c>
      <c r="P20" s="483" t="s">
        <v>193</v>
      </c>
      <c r="Q20" s="484" t="s">
        <v>193</v>
      </c>
      <c r="R20" s="482" t="s">
        <v>193</v>
      </c>
      <c r="S20" s="483" t="s">
        <v>193</v>
      </c>
      <c r="T20" s="483" t="s">
        <v>193</v>
      </c>
      <c r="U20" s="484" t="s">
        <v>193</v>
      </c>
      <c r="V20" s="482" t="s">
        <v>193</v>
      </c>
      <c r="W20" s="483" t="s">
        <v>193</v>
      </c>
      <c r="X20" s="483" t="s">
        <v>193</v>
      </c>
      <c r="Y20" s="484" t="s">
        <v>193</v>
      </c>
      <c r="Z20" s="485">
        <v>-868</v>
      </c>
      <c r="AA20" s="485">
        <v>525</v>
      </c>
      <c r="AB20" s="486">
        <v>64</v>
      </c>
    </row>
    <row r="21" spans="1:28" s="429" customFormat="1" ht="16.7" customHeight="1" x14ac:dyDescent="0.2">
      <c r="A21" s="450" t="s">
        <v>236</v>
      </c>
      <c r="B21" s="451" t="s">
        <v>193</v>
      </c>
      <c r="C21" s="452" t="s">
        <v>193</v>
      </c>
      <c r="D21" s="452" t="s">
        <v>193</v>
      </c>
      <c r="E21" s="453" t="s">
        <v>193</v>
      </c>
      <c r="F21" s="451" t="s">
        <v>193</v>
      </c>
      <c r="G21" s="452" t="s">
        <v>193</v>
      </c>
      <c r="H21" s="452" t="s">
        <v>193</v>
      </c>
      <c r="I21" s="453" t="s">
        <v>193</v>
      </c>
      <c r="J21" s="451" t="s">
        <v>193</v>
      </c>
      <c r="K21" s="452" t="s">
        <v>193</v>
      </c>
      <c r="L21" s="452" t="s">
        <v>193</v>
      </c>
      <c r="M21" s="453" t="s">
        <v>193</v>
      </c>
      <c r="N21" s="451" t="s">
        <v>193</v>
      </c>
      <c r="O21" s="452" t="s">
        <v>193</v>
      </c>
      <c r="P21" s="452" t="s">
        <v>193</v>
      </c>
      <c r="Q21" s="453" t="s">
        <v>193</v>
      </c>
      <c r="R21" s="451">
        <v>-5685</v>
      </c>
      <c r="S21" s="452">
        <v>-2584</v>
      </c>
      <c r="T21" s="452">
        <v>-1298</v>
      </c>
      <c r="U21" s="453">
        <v>-2130</v>
      </c>
      <c r="V21" s="451">
        <v>-2621</v>
      </c>
      <c r="W21" s="452">
        <v>-2388</v>
      </c>
      <c r="X21" s="452">
        <v>-3490</v>
      </c>
      <c r="Y21" s="453">
        <v>-2171</v>
      </c>
      <c r="Z21" s="480">
        <v>-2312</v>
      </c>
      <c r="AA21" s="480">
        <v>-1873</v>
      </c>
      <c r="AB21" s="454">
        <v>-1825</v>
      </c>
    </row>
    <row r="22" spans="1:28" s="429" customFormat="1" ht="5.25" customHeight="1" x14ac:dyDescent="0.2">
      <c r="A22" s="455"/>
      <c r="B22" s="456"/>
      <c r="C22" s="456"/>
      <c r="D22" s="456"/>
      <c r="E22" s="456"/>
      <c r="F22" s="456"/>
      <c r="G22" s="456"/>
      <c r="H22" s="456"/>
      <c r="I22" s="456"/>
      <c r="J22" s="456"/>
      <c r="K22" s="456"/>
      <c r="L22" s="456"/>
      <c r="M22" s="456"/>
      <c r="N22" s="456"/>
      <c r="O22" s="456"/>
      <c r="P22" s="456"/>
      <c r="Q22" s="456"/>
      <c r="R22" s="456"/>
      <c r="S22" s="456"/>
      <c r="T22" s="456"/>
      <c r="U22" s="456"/>
      <c r="V22" s="456"/>
      <c r="W22" s="456"/>
      <c r="X22" s="456"/>
      <c r="Y22" s="456"/>
      <c r="Z22" s="457"/>
      <c r="AA22" s="457"/>
      <c r="AB22" s="457"/>
    </row>
    <row r="23" spans="1:28" s="424" customFormat="1" ht="16.7" customHeight="1" x14ac:dyDescent="0.2">
      <c r="A23" s="458" t="s">
        <v>237</v>
      </c>
      <c r="B23" s="459" t="s">
        <v>4</v>
      </c>
      <c r="C23" s="820" t="s">
        <v>238</v>
      </c>
      <c r="D23" s="820"/>
      <c r="E23" s="820"/>
      <c r="F23" s="820"/>
      <c r="G23" s="820"/>
      <c r="H23" s="820"/>
      <c r="I23" s="820"/>
      <c r="J23" s="820"/>
      <c r="K23" s="820"/>
      <c r="L23" s="820"/>
      <c r="M23" s="820"/>
      <c r="N23" s="820"/>
      <c r="O23" s="820"/>
      <c r="P23" s="820"/>
      <c r="Q23" s="820"/>
      <c r="R23" s="820"/>
      <c r="S23" s="820"/>
      <c r="T23" s="820"/>
      <c r="U23" s="820"/>
      <c r="V23" s="820"/>
      <c r="W23" s="820"/>
      <c r="X23" s="820"/>
      <c r="Y23" s="820"/>
      <c r="Z23" s="820"/>
      <c r="AA23" s="820"/>
      <c r="AB23" s="821"/>
    </row>
    <row r="24" spans="1:28" s="424" customFormat="1" ht="15" x14ac:dyDescent="0.2">
      <c r="A24" s="784" t="s">
        <v>239</v>
      </c>
      <c r="B24" s="460">
        <v>1997</v>
      </c>
      <c r="C24" s="802" t="s">
        <v>240</v>
      </c>
      <c r="D24" s="803"/>
      <c r="E24" s="803"/>
      <c r="F24" s="803"/>
      <c r="G24" s="803"/>
      <c r="H24" s="803"/>
      <c r="I24" s="803"/>
      <c r="J24" s="803"/>
      <c r="K24" s="803"/>
      <c r="L24" s="803"/>
      <c r="M24" s="803"/>
      <c r="N24" s="803"/>
      <c r="O24" s="803"/>
      <c r="P24" s="803"/>
      <c r="Q24" s="803"/>
      <c r="R24" s="803"/>
      <c r="S24" s="803"/>
      <c r="T24" s="803"/>
      <c r="U24" s="803"/>
      <c r="V24" s="803"/>
      <c r="W24" s="803"/>
      <c r="X24" s="803"/>
      <c r="Y24" s="803"/>
      <c r="Z24" s="803"/>
      <c r="AA24" s="803"/>
      <c r="AB24" s="804"/>
    </row>
    <row r="25" spans="1:28" s="424" customFormat="1" ht="15" x14ac:dyDescent="0.2">
      <c r="A25" s="785"/>
      <c r="B25" s="461">
        <v>1998</v>
      </c>
      <c r="C25" s="790" t="s">
        <v>241</v>
      </c>
      <c r="D25" s="815"/>
      <c r="E25" s="815"/>
      <c r="F25" s="815"/>
      <c r="G25" s="815"/>
      <c r="H25" s="815"/>
      <c r="I25" s="815"/>
      <c r="J25" s="815"/>
      <c r="K25" s="815"/>
      <c r="L25" s="815"/>
      <c r="M25" s="815"/>
      <c r="N25" s="815"/>
      <c r="O25" s="815"/>
      <c r="P25" s="815"/>
      <c r="Q25" s="815"/>
      <c r="R25" s="815"/>
      <c r="S25" s="815"/>
      <c r="T25" s="815"/>
      <c r="U25" s="815"/>
      <c r="V25" s="815"/>
      <c r="W25" s="815"/>
      <c r="X25" s="815"/>
      <c r="Y25" s="815"/>
      <c r="Z25" s="815"/>
      <c r="AA25" s="815"/>
      <c r="AB25" s="816"/>
    </row>
    <row r="26" spans="1:28" s="424" customFormat="1" ht="15" x14ac:dyDescent="0.2">
      <c r="A26" s="785"/>
      <c r="B26" s="461">
        <v>1999</v>
      </c>
      <c r="C26" s="790" t="s">
        <v>242</v>
      </c>
      <c r="D26" s="815"/>
      <c r="E26" s="815"/>
      <c r="F26" s="815"/>
      <c r="G26" s="815"/>
      <c r="H26" s="815"/>
      <c r="I26" s="815"/>
      <c r="J26" s="815"/>
      <c r="K26" s="815"/>
      <c r="L26" s="815"/>
      <c r="M26" s="815"/>
      <c r="N26" s="815"/>
      <c r="O26" s="815"/>
      <c r="P26" s="815"/>
      <c r="Q26" s="815"/>
      <c r="R26" s="815"/>
      <c r="S26" s="815"/>
      <c r="T26" s="815"/>
      <c r="U26" s="815"/>
      <c r="V26" s="815"/>
      <c r="W26" s="815"/>
      <c r="X26" s="815"/>
      <c r="Y26" s="815"/>
      <c r="Z26" s="815"/>
      <c r="AA26" s="815"/>
      <c r="AB26" s="816"/>
    </row>
    <row r="27" spans="1:28" s="424" customFormat="1" ht="15" x14ac:dyDescent="0.2">
      <c r="A27" s="786"/>
      <c r="B27" s="462">
        <v>2000</v>
      </c>
      <c r="C27" s="808" t="s">
        <v>243</v>
      </c>
      <c r="D27" s="809"/>
      <c r="E27" s="809"/>
      <c r="F27" s="809"/>
      <c r="G27" s="809"/>
      <c r="H27" s="809"/>
      <c r="I27" s="809"/>
      <c r="J27" s="809"/>
      <c r="K27" s="809"/>
      <c r="L27" s="809"/>
      <c r="M27" s="809"/>
      <c r="N27" s="809"/>
      <c r="O27" s="809"/>
      <c r="P27" s="809"/>
      <c r="Q27" s="809"/>
      <c r="R27" s="809"/>
      <c r="S27" s="809"/>
      <c r="T27" s="809"/>
      <c r="U27" s="809"/>
      <c r="V27" s="809"/>
      <c r="W27" s="809"/>
      <c r="X27" s="809"/>
      <c r="Y27" s="809"/>
      <c r="Z27" s="809"/>
      <c r="AA27" s="809"/>
      <c r="AB27" s="810"/>
    </row>
    <row r="28" spans="1:28" s="424" customFormat="1" ht="15" x14ac:dyDescent="0.2">
      <c r="A28" s="784" t="s">
        <v>244</v>
      </c>
      <c r="B28" s="460">
        <v>2001</v>
      </c>
      <c r="C28" s="802" t="s">
        <v>245</v>
      </c>
      <c r="D28" s="803"/>
      <c r="E28" s="803"/>
      <c r="F28" s="803"/>
      <c r="G28" s="803"/>
      <c r="H28" s="803"/>
      <c r="I28" s="803"/>
      <c r="J28" s="803"/>
      <c r="K28" s="803"/>
      <c r="L28" s="803"/>
      <c r="M28" s="803"/>
      <c r="N28" s="803"/>
      <c r="O28" s="803"/>
      <c r="P28" s="803"/>
      <c r="Q28" s="803"/>
      <c r="R28" s="803"/>
      <c r="S28" s="803"/>
      <c r="T28" s="803"/>
      <c r="U28" s="803"/>
      <c r="V28" s="803"/>
      <c r="W28" s="803"/>
      <c r="X28" s="803"/>
      <c r="Y28" s="803"/>
      <c r="Z28" s="803"/>
      <c r="AA28" s="803"/>
      <c r="AB28" s="804"/>
    </row>
    <row r="29" spans="1:28" s="424" customFormat="1" ht="19.5" customHeight="1" x14ac:dyDescent="0.2">
      <c r="A29" s="785"/>
      <c r="B29" s="463">
        <v>2002</v>
      </c>
      <c r="C29" s="805" t="s">
        <v>246</v>
      </c>
      <c r="D29" s="806"/>
      <c r="E29" s="806"/>
      <c r="F29" s="806"/>
      <c r="G29" s="806"/>
      <c r="H29" s="806"/>
      <c r="I29" s="806"/>
      <c r="J29" s="806"/>
      <c r="K29" s="806"/>
      <c r="L29" s="806"/>
      <c r="M29" s="806"/>
      <c r="N29" s="806"/>
      <c r="O29" s="806"/>
      <c r="P29" s="806"/>
      <c r="Q29" s="806"/>
      <c r="R29" s="806"/>
      <c r="S29" s="806"/>
      <c r="T29" s="806"/>
      <c r="U29" s="806"/>
      <c r="V29" s="806"/>
      <c r="W29" s="806"/>
      <c r="X29" s="806"/>
      <c r="Y29" s="806"/>
      <c r="Z29" s="806"/>
      <c r="AA29" s="806"/>
      <c r="AB29" s="807"/>
    </row>
    <row r="30" spans="1:28" s="424" customFormat="1" ht="19.5" customHeight="1" x14ac:dyDescent="0.2">
      <c r="A30" s="785"/>
      <c r="B30" s="463">
        <v>2003</v>
      </c>
      <c r="C30" s="805" t="s">
        <v>247</v>
      </c>
      <c r="D30" s="806"/>
      <c r="E30" s="806"/>
      <c r="F30" s="806"/>
      <c r="G30" s="806"/>
      <c r="H30" s="806"/>
      <c r="I30" s="806"/>
      <c r="J30" s="806"/>
      <c r="K30" s="806"/>
      <c r="L30" s="806"/>
      <c r="M30" s="806"/>
      <c r="N30" s="806"/>
      <c r="O30" s="806"/>
      <c r="P30" s="806"/>
      <c r="Q30" s="806"/>
      <c r="R30" s="806"/>
      <c r="S30" s="806"/>
      <c r="T30" s="806"/>
      <c r="U30" s="806"/>
      <c r="V30" s="806"/>
      <c r="W30" s="806"/>
      <c r="X30" s="806"/>
      <c r="Y30" s="806"/>
      <c r="Z30" s="806"/>
      <c r="AA30" s="806"/>
      <c r="AB30" s="807"/>
    </row>
    <row r="31" spans="1:28" s="424" customFormat="1" ht="19.5" customHeight="1" x14ac:dyDescent="0.2">
      <c r="A31" s="786"/>
      <c r="B31" s="462">
        <v>2004</v>
      </c>
      <c r="C31" s="808" t="s">
        <v>248</v>
      </c>
      <c r="D31" s="809"/>
      <c r="E31" s="809"/>
      <c r="F31" s="809"/>
      <c r="G31" s="809"/>
      <c r="H31" s="809"/>
      <c r="I31" s="809"/>
      <c r="J31" s="809"/>
      <c r="K31" s="809"/>
      <c r="L31" s="809"/>
      <c r="M31" s="809"/>
      <c r="N31" s="809"/>
      <c r="O31" s="809"/>
      <c r="P31" s="809"/>
      <c r="Q31" s="809"/>
      <c r="R31" s="809"/>
      <c r="S31" s="809"/>
      <c r="T31" s="809"/>
      <c r="U31" s="809"/>
      <c r="V31" s="809"/>
      <c r="W31" s="809"/>
      <c r="X31" s="809"/>
      <c r="Y31" s="809"/>
      <c r="Z31" s="809"/>
      <c r="AA31" s="809"/>
      <c r="AB31" s="810"/>
    </row>
    <row r="32" spans="1:28" s="424" customFormat="1" ht="18.75" customHeight="1" x14ac:dyDescent="0.2">
      <c r="A32" s="784" t="s">
        <v>249</v>
      </c>
      <c r="B32" s="464">
        <v>2005</v>
      </c>
      <c r="C32" s="811" t="s">
        <v>250</v>
      </c>
      <c r="D32" s="812"/>
      <c r="E32" s="812"/>
      <c r="F32" s="812"/>
      <c r="G32" s="812"/>
      <c r="H32" s="812"/>
      <c r="I32" s="812"/>
      <c r="J32" s="812"/>
      <c r="K32" s="812"/>
      <c r="L32" s="812"/>
      <c r="M32" s="812"/>
      <c r="N32" s="812"/>
      <c r="O32" s="812"/>
      <c r="P32" s="812"/>
      <c r="Q32" s="812"/>
      <c r="R32" s="812"/>
      <c r="S32" s="812"/>
      <c r="T32" s="812"/>
      <c r="U32" s="812"/>
      <c r="V32" s="812"/>
      <c r="W32" s="812"/>
      <c r="X32" s="812"/>
      <c r="Y32" s="812"/>
      <c r="Z32" s="812"/>
      <c r="AA32" s="812"/>
      <c r="AB32" s="813"/>
    </row>
    <row r="33" spans="1:28" s="424" customFormat="1" ht="15" x14ac:dyDescent="0.2">
      <c r="A33" s="785"/>
      <c r="B33" s="461">
        <v>2006</v>
      </c>
      <c r="C33" s="790" t="s">
        <v>251</v>
      </c>
      <c r="D33" s="815"/>
      <c r="E33" s="815"/>
      <c r="F33" s="815"/>
      <c r="G33" s="815"/>
      <c r="H33" s="815"/>
      <c r="I33" s="815"/>
      <c r="J33" s="815"/>
      <c r="K33" s="815"/>
      <c r="L33" s="815"/>
      <c r="M33" s="815"/>
      <c r="N33" s="815"/>
      <c r="O33" s="815"/>
      <c r="P33" s="815"/>
      <c r="Q33" s="815"/>
      <c r="R33" s="815"/>
      <c r="S33" s="815"/>
      <c r="T33" s="815"/>
      <c r="U33" s="815"/>
      <c r="V33" s="815"/>
      <c r="W33" s="815"/>
      <c r="X33" s="815"/>
      <c r="Y33" s="815"/>
      <c r="Z33" s="815"/>
      <c r="AA33" s="815"/>
      <c r="AB33" s="816"/>
    </row>
    <row r="34" spans="1:28" s="424" customFormat="1" ht="15" x14ac:dyDescent="0.2">
      <c r="A34" s="785"/>
      <c r="B34" s="463">
        <v>2007</v>
      </c>
      <c r="C34" s="805" t="s">
        <v>252</v>
      </c>
      <c r="D34" s="806"/>
      <c r="E34" s="806"/>
      <c r="F34" s="806"/>
      <c r="G34" s="806"/>
      <c r="H34" s="806"/>
      <c r="I34" s="806"/>
      <c r="J34" s="806"/>
      <c r="K34" s="806"/>
      <c r="L34" s="806"/>
      <c r="M34" s="806"/>
      <c r="N34" s="806"/>
      <c r="O34" s="806"/>
      <c r="P34" s="806"/>
      <c r="Q34" s="806"/>
      <c r="R34" s="806"/>
      <c r="S34" s="806"/>
      <c r="T34" s="806"/>
      <c r="U34" s="806"/>
      <c r="V34" s="806"/>
      <c r="W34" s="806"/>
      <c r="X34" s="806"/>
      <c r="Y34" s="806"/>
      <c r="Z34" s="806"/>
      <c r="AA34" s="806"/>
      <c r="AB34" s="807"/>
    </row>
    <row r="35" spans="1:28" s="424" customFormat="1" ht="15" x14ac:dyDescent="0.2">
      <c r="A35" s="786"/>
      <c r="B35" s="465">
        <v>2008</v>
      </c>
      <c r="C35" s="817" t="s">
        <v>253</v>
      </c>
      <c r="D35" s="818"/>
      <c r="E35" s="818"/>
      <c r="F35" s="818"/>
      <c r="G35" s="818"/>
      <c r="H35" s="818"/>
      <c r="I35" s="818"/>
      <c r="J35" s="818"/>
      <c r="K35" s="818"/>
      <c r="L35" s="818"/>
      <c r="M35" s="818"/>
      <c r="N35" s="818"/>
      <c r="O35" s="818"/>
      <c r="P35" s="818"/>
      <c r="Q35" s="818"/>
      <c r="R35" s="818"/>
      <c r="S35" s="818"/>
      <c r="T35" s="818"/>
      <c r="U35" s="818"/>
      <c r="V35" s="818"/>
      <c r="W35" s="818"/>
      <c r="X35" s="818"/>
      <c r="Y35" s="818"/>
      <c r="Z35" s="818"/>
      <c r="AA35" s="818"/>
      <c r="AB35" s="819"/>
    </row>
    <row r="36" spans="1:28" s="424" customFormat="1" ht="18.75" customHeight="1" x14ac:dyDescent="0.2">
      <c r="A36" s="784" t="s">
        <v>254</v>
      </c>
      <c r="B36" s="460">
        <v>2009</v>
      </c>
      <c r="C36" s="802" t="s">
        <v>255</v>
      </c>
      <c r="D36" s="803"/>
      <c r="E36" s="803"/>
      <c r="F36" s="803"/>
      <c r="G36" s="803"/>
      <c r="H36" s="803"/>
      <c r="I36" s="803"/>
      <c r="J36" s="803"/>
      <c r="K36" s="803"/>
      <c r="L36" s="803"/>
      <c r="M36" s="803"/>
      <c r="N36" s="803"/>
      <c r="O36" s="803"/>
      <c r="P36" s="803"/>
      <c r="Q36" s="803"/>
      <c r="R36" s="803"/>
      <c r="S36" s="803"/>
      <c r="T36" s="803"/>
      <c r="U36" s="803"/>
      <c r="V36" s="803"/>
      <c r="W36" s="803"/>
      <c r="X36" s="803"/>
      <c r="Y36" s="803"/>
      <c r="Z36" s="803"/>
      <c r="AA36" s="803"/>
      <c r="AB36" s="804"/>
    </row>
    <row r="37" spans="1:28" s="424" customFormat="1" ht="15" x14ac:dyDescent="0.2">
      <c r="A37" s="785"/>
      <c r="B37" s="463">
        <v>2010</v>
      </c>
      <c r="C37" s="805" t="s">
        <v>256</v>
      </c>
      <c r="D37" s="806"/>
      <c r="E37" s="806"/>
      <c r="F37" s="806"/>
      <c r="G37" s="806"/>
      <c r="H37" s="806"/>
      <c r="I37" s="806"/>
      <c r="J37" s="806"/>
      <c r="K37" s="806"/>
      <c r="L37" s="806"/>
      <c r="M37" s="806"/>
      <c r="N37" s="806"/>
      <c r="O37" s="806"/>
      <c r="P37" s="806"/>
      <c r="Q37" s="806"/>
      <c r="R37" s="806"/>
      <c r="S37" s="806"/>
      <c r="T37" s="806"/>
      <c r="U37" s="806"/>
      <c r="V37" s="806"/>
      <c r="W37" s="806"/>
      <c r="X37" s="806"/>
      <c r="Y37" s="806"/>
      <c r="Z37" s="806"/>
      <c r="AA37" s="806"/>
      <c r="AB37" s="807"/>
    </row>
    <row r="38" spans="1:28" s="424" customFormat="1" ht="15" x14ac:dyDescent="0.2">
      <c r="A38" s="785"/>
      <c r="B38" s="463">
        <v>2011</v>
      </c>
      <c r="C38" s="805" t="s">
        <v>257</v>
      </c>
      <c r="D38" s="806"/>
      <c r="E38" s="806"/>
      <c r="F38" s="806"/>
      <c r="G38" s="806"/>
      <c r="H38" s="806"/>
      <c r="I38" s="806"/>
      <c r="J38" s="806"/>
      <c r="K38" s="806"/>
      <c r="L38" s="806"/>
      <c r="M38" s="806"/>
      <c r="N38" s="806"/>
      <c r="O38" s="806"/>
      <c r="P38" s="806"/>
      <c r="Q38" s="806"/>
      <c r="R38" s="806"/>
      <c r="S38" s="806"/>
      <c r="T38" s="806"/>
      <c r="U38" s="806"/>
      <c r="V38" s="806"/>
      <c r="W38" s="806"/>
      <c r="X38" s="806"/>
      <c r="Y38" s="806"/>
      <c r="Z38" s="806"/>
      <c r="AA38" s="806"/>
      <c r="AB38" s="807"/>
    </row>
    <row r="39" spans="1:28" s="424" customFormat="1" ht="15" x14ac:dyDescent="0.2">
      <c r="A39" s="786"/>
      <c r="B39" s="462">
        <v>2012</v>
      </c>
      <c r="C39" s="808" t="s">
        <v>258</v>
      </c>
      <c r="D39" s="809"/>
      <c r="E39" s="809"/>
      <c r="F39" s="809"/>
      <c r="G39" s="809"/>
      <c r="H39" s="809"/>
      <c r="I39" s="809"/>
      <c r="J39" s="809"/>
      <c r="K39" s="809"/>
      <c r="L39" s="809"/>
      <c r="M39" s="809"/>
      <c r="N39" s="809"/>
      <c r="O39" s="809"/>
      <c r="P39" s="809"/>
      <c r="Q39" s="809"/>
      <c r="R39" s="809"/>
      <c r="S39" s="809"/>
      <c r="T39" s="809"/>
      <c r="U39" s="809"/>
      <c r="V39" s="809"/>
      <c r="W39" s="809"/>
      <c r="X39" s="809"/>
      <c r="Y39" s="809"/>
      <c r="Z39" s="809"/>
      <c r="AA39" s="809"/>
      <c r="AB39" s="810"/>
    </row>
    <row r="40" spans="1:28" s="424" customFormat="1" ht="18.75" customHeight="1" x14ac:dyDescent="0.2">
      <c r="A40" s="784" t="s">
        <v>259</v>
      </c>
      <c r="B40" s="464">
        <v>2013</v>
      </c>
      <c r="C40" s="811" t="s">
        <v>260</v>
      </c>
      <c r="D40" s="812"/>
      <c r="E40" s="812"/>
      <c r="F40" s="812"/>
      <c r="G40" s="812"/>
      <c r="H40" s="812"/>
      <c r="I40" s="812"/>
      <c r="J40" s="812"/>
      <c r="K40" s="812"/>
      <c r="L40" s="812"/>
      <c r="M40" s="812"/>
      <c r="N40" s="812"/>
      <c r="O40" s="812"/>
      <c r="P40" s="812"/>
      <c r="Q40" s="812"/>
      <c r="R40" s="812"/>
      <c r="S40" s="812"/>
      <c r="T40" s="812"/>
      <c r="U40" s="812"/>
      <c r="V40" s="812"/>
      <c r="W40" s="812"/>
      <c r="X40" s="812"/>
      <c r="Y40" s="812"/>
      <c r="Z40" s="812"/>
      <c r="AA40" s="812"/>
      <c r="AB40" s="813"/>
    </row>
    <row r="41" spans="1:28" s="424" customFormat="1" ht="15" customHeight="1" x14ac:dyDescent="0.2">
      <c r="A41" s="785"/>
      <c r="B41" s="461">
        <v>2014</v>
      </c>
      <c r="C41" s="790" t="s">
        <v>261</v>
      </c>
      <c r="D41" s="790"/>
      <c r="E41" s="790"/>
      <c r="F41" s="790"/>
      <c r="G41" s="790"/>
      <c r="H41" s="790"/>
      <c r="I41" s="790"/>
      <c r="J41" s="790"/>
      <c r="K41" s="790"/>
      <c r="L41" s="790"/>
      <c r="M41" s="790"/>
      <c r="N41" s="790"/>
      <c r="O41" s="790"/>
      <c r="P41" s="790"/>
      <c r="Q41" s="790"/>
      <c r="R41" s="790"/>
      <c r="S41" s="790"/>
      <c r="T41" s="790"/>
      <c r="U41" s="790"/>
      <c r="V41" s="790"/>
      <c r="W41" s="790"/>
      <c r="X41" s="790"/>
      <c r="Y41" s="790"/>
      <c r="Z41" s="790"/>
      <c r="AA41" s="790"/>
      <c r="AB41" s="814"/>
    </row>
    <row r="42" spans="1:28" s="424" customFormat="1" ht="15" customHeight="1" x14ac:dyDescent="0.2">
      <c r="A42" s="785"/>
      <c r="B42" s="461">
        <v>2015</v>
      </c>
      <c r="C42" s="790" t="s">
        <v>262</v>
      </c>
      <c r="D42" s="790"/>
      <c r="E42" s="790"/>
      <c r="F42" s="790"/>
      <c r="G42" s="790"/>
      <c r="H42" s="790"/>
      <c r="I42" s="790"/>
      <c r="J42" s="790"/>
      <c r="K42" s="790"/>
      <c r="L42" s="790"/>
      <c r="M42" s="790"/>
      <c r="N42" s="790"/>
      <c r="O42" s="790"/>
      <c r="P42" s="790"/>
      <c r="Q42" s="790"/>
      <c r="R42" s="790"/>
      <c r="S42" s="790"/>
      <c r="T42" s="790"/>
      <c r="U42" s="790"/>
      <c r="V42" s="790"/>
      <c r="W42" s="790"/>
      <c r="X42" s="790"/>
      <c r="Y42" s="790"/>
      <c r="Z42" s="790"/>
      <c r="AA42" s="790"/>
      <c r="AB42" s="814"/>
    </row>
    <row r="43" spans="1:28" s="424" customFormat="1" ht="15" x14ac:dyDescent="0.2">
      <c r="A43" s="786"/>
      <c r="B43" s="466">
        <v>2016</v>
      </c>
      <c r="C43" s="808" t="s">
        <v>263</v>
      </c>
      <c r="D43" s="809"/>
      <c r="E43" s="809"/>
      <c r="F43" s="809"/>
      <c r="G43" s="809"/>
      <c r="H43" s="809"/>
      <c r="I43" s="809"/>
      <c r="J43" s="809"/>
      <c r="K43" s="809"/>
      <c r="L43" s="809"/>
      <c r="M43" s="809"/>
      <c r="N43" s="809"/>
      <c r="O43" s="809"/>
      <c r="P43" s="809"/>
      <c r="Q43" s="809"/>
      <c r="R43" s="809"/>
      <c r="S43" s="809"/>
      <c r="T43" s="809"/>
      <c r="U43" s="809"/>
      <c r="V43" s="809"/>
      <c r="W43" s="809"/>
      <c r="X43" s="809"/>
      <c r="Y43" s="809"/>
      <c r="Z43" s="809"/>
      <c r="AA43" s="809"/>
      <c r="AB43" s="810"/>
    </row>
    <row r="44" spans="1:28" s="424" customFormat="1" ht="15" x14ac:dyDescent="0.2">
      <c r="A44" s="784" t="s">
        <v>264</v>
      </c>
      <c r="B44" s="464">
        <v>2017</v>
      </c>
      <c r="C44" s="787" t="s">
        <v>265</v>
      </c>
      <c r="D44" s="788"/>
      <c r="E44" s="788"/>
      <c r="F44" s="788"/>
      <c r="G44" s="788"/>
      <c r="H44" s="788"/>
      <c r="I44" s="788"/>
      <c r="J44" s="788"/>
      <c r="K44" s="788"/>
      <c r="L44" s="788"/>
      <c r="M44" s="788"/>
      <c r="N44" s="788"/>
      <c r="O44" s="788"/>
      <c r="P44" s="788"/>
      <c r="Q44" s="788"/>
      <c r="R44" s="788"/>
      <c r="S44" s="788"/>
      <c r="T44" s="788"/>
      <c r="U44" s="788"/>
      <c r="V44" s="788"/>
      <c r="W44" s="788"/>
      <c r="X44" s="788"/>
      <c r="Y44" s="788"/>
      <c r="Z44" s="788"/>
      <c r="AA44" s="788"/>
      <c r="AB44" s="789"/>
    </row>
    <row r="45" spans="1:28" s="424" customFormat="1" ht="15" x14ac:dyDescent="0.2">
      <c r="A45" s="785"/>
      <c r="B45" s="461">
        <v>2018</v>
      </c>
      <c r="C45" s="790" t="s">
        <v>266</v>
      </c>
      <c r="D45" s="791"/>
      <c r="E45" s="791"/>
      <c r="F45" s="791"/>
      <c r="G45" s="791"/>
      <c r="H45" s="791"/>
      <c r="I45" s="791"/>
      <c r="J45" s="791"/>
      <c r="K45" s="791"/>
      <c r="L45" s="791"/>
      <c r="M45" s="791"/>
      <c r="N45" s="791"/>
      <c r="O45" s="791"/>
      <c r="P45" s="791"/>
      <c r="Q45" s="791"/>
      <c r="R45" s="791"/>
      <c r="S45" s="791"/>
      <c r="T45" s="791"/>
      <c r="U45" s="791"/>
      <c r="V45" s="791"/>
      <c r="W45" s="791"/>
      <c r="X45" s="791"/>
      <c r="Y45" s="791"/>
      <c r="Z45" s="791"/>
      <c r="AA45" s="791"/>
      <c r="AB45" s="792"/>
    </row>
    <row r="46" spans="1:28" s="424" customFormat="1" ht="15" x14ac:dyDescent="0.2">
      <c r="A46" s="785"/>
      <c r="B46" s="461">
        <v>2019</v>
      </c>
      <c r="C46" s="790" t="s">
        <v>267</v>
      </c>
      <c r="D46" s="791"/>
      <c r="E46" s="791"/>
      <c r="F46" s="791"/>
      <c r="G46" s="791"/>
      <c r="H46" s="791"/>
      <c r="I46" s="791"/>
      <c r="J46" s="791"/>
      <c r="K46" s="791"/>
      <c r="L46" s="791"/>
      <c r="M46" s="791"/>
      <c r="N46" s="791"/>
      <c r="O46" s="791"/>
      <c r="P46" s="791"/>
      <c r="Q46" s="791"/>
      <c r="R46" s="791"/>
      <c r="S46" s="791"/>
      <c r="T46" s="791"/>
      <c r="U46" s="791"/>
      <c r="V46" s="791"/>
      <c r="W46" s="791"/>
      <c r="X46" s="791"/>
      <c r="Y46" s="791"/>
      <c r="Z46" s="791"/>
      <c r="AA46" s="791"/>
      <c r="AB46" s="792"/>
    </row>
    <row r="47" spans="1:28" s="424" customFormat="1" ht="15" x14ac:dyDescent="0.2">
      <c r="A47" s="786"/>
      <c r="B47" s="462">
        <v>2020</v>
      </c>
      <c r="C47" s="793" t="s">
        <v>268</v>
      </c>
      <c r="D47" s="794"/>
      <c r="E47" s="794"/>
      <c r="F47" s="794"/>
      <c r="G47" s="794"/>
      <c r="H47" s="794"/>
      <c r="I47" s="794"/>
      <c r="J47" s="794"/>
      <c r="K47" s="794"/>
      <c r="L47" s="794"/>
      <c r="M47" s="794"/>
      <c r="N47" s="794"/>
      <c r="O47" s="794"/>
      <c r="P47" s="794"/>
      <c r="Q47" s="794"/>
      <c r="R47" s="794"/>
      <c r="S47" s="794"/>
      <c r="T47" s="794"/>
      <c r="U47" s="794"/>
      <c r="V47" s="794"/>
      <c r="W47" s="794"/>
      <c r="X47" s="794"/>
      <c r="Y47" s="794"/>
      <c r="Z47" s="794"/>
      <c r="AA47" s="794"/>
      <c r="AB47" s="795"/>
    </row>
    <row r="48" spans="1:28" s="424" customFormat="1" ht="15" x14ac:dyDescent="0.2">
      <c r="A48" s="796" t="s">
        <v>269</v>
      </c>
      <c r="B48" s="464">
        <v>2021</v>
      </c>
      <c r="C48" s="787" t="s">
        <v>475</v>
      </c>
      <c r="D48" s="788"/>
      <c r="E48" s="788"/>
      <c r="F48" s="788"/>
      <c r="G48" s="788"/>
      <c r="H48" s="788"/>
      <c r="I48" s="788"/>
      <c r="J48" s="788"/>
      <c r="K48" s="788"/>
      <c r="L48" s="788"/>
      <c r="M48" s="788"/>
      <c r="N48" s="788"/>
      <c r="O48" s="788"/>
      <c r="P48" s="788"/>
      <c r="Q48" s="788"/>
      <c r="R48" s="788"/>
      <c r="S48" s="788"/>
      <c r="T48" s="788"/>
      <c r="U48" s="788"/>
      <c r="V48" s="788"/>
      <c r="W48" s="788"/>
      <c r="X48" s="788"/>
      <c r="Y48" s="788"/>
      <c r="Z48" s="788"/>
      <c r="AA48" s="788"/>
      <c r="AB48" s="789"/>
    </row>
    <row r="49" spans="1:28" s="424" customFormat="1" ht="15" x14ac:dyDescent="0.2">
      <c r="A49" s="797"/>
      <c r="B49" s="461">
        <v>2022</v>
      </c>
      <c r="C49" s="790" t="s">
        <v>476</v>
      </c>
      <c r="D49" s="791"/>
      <c r="E49" s="791"/>
      <c r="F49" s="791"/>
      <c r="G49" s="791"/>
      <c r="H49" s="791"/>
      <c r="I49" s="791"/>
      <c r="J49" s="791"/>
      <c r="K49" s="791"/>
      <c r="L49" s="791"/>
      <c r="M49" s="791"/>
      <c r="N49" s="791"/>
      <c r="O49" s="791"/>
      <c r="P49" s="791"/>
      <c r="Q49" s="791"/>
      <c r="R49" s="791"/>
      <c r="S49" s="791"/>
      <c r="T49" s="791"/>
      <c r="U49" s="791"/>
      <c r="V49" s="791"/>
      <c r="W49" s="791"/>
      <c r="X49" s="791"/>
      <c r="Y49" s="791"/>
      <c r="Z49" s="791"/>
      <c r="AA49" s="791"/>
      <c r="AB49" s="792"/>
    </row>
    <row r="50" spans="1:28" s="424" customFormat="1" ht="19.5" customHeight="1" x14ac:dyDescent="0.2">
      <c r="A50" s="797"/>
      <c r="B50" s="461">
        <v>2023</v>
      </c>
      <c r="C50" s="790" t="s">
        <v>477</v>
      </c>
      <c r="D50" s="791"/>
      <c r="E50" s="791"/>
      <c r="F50" s="791"/>
      <c r="G50" s="791"/>
      <c r="H50" s="791"/>
      <c r="I50" s="791"/>
      <c r="J50" s="791"/>
      <c r="K50" s="791"/>
      <c r="L50" s="791"/>
      <c r="M50" s="791"/>
      <c r="N50" s="791"/>
      <c r="O50" s="791"/>
      <c r="P50" s="791"/>
      <c r="Q50" s="791"/>
      <c r="R50" s="791"/>
      <c r="S50" s="791"/>
      <c r="T50" s="791"/>
      <c r="U50" s="791"/>
      <c r="V50" s="791"/>
      <c r="W50" s="791"/>
      <c r="X50" s="791"/>
      <c r="Y50" s="791"/>
      <c r="Z50" s="791"/>
      <c r="AA50" s="791"/>
      <c r="AB50" s="792"/>
    </row>
    <row r="51" spans="1:28" s="424" customFormat="1" ht="15" x14ac:dyDescent="0.2">
      <c r="A51" s="798"/>
      <c r="B51" s="467">
        <v>2024</v>
      </c>
      <c r="C51" s="799"/>
      <c r="D51" s="800"/>
      <c r="E51" s="800"/>
      <c r="F51" s="800"/>
      <c r="G51" s="800"/>
      <c r="H51" s="800"/>
      <c r="I51" s="800"/>
      <c r="J51" s="800"/>
      <c r="K51" s="800"/>
      <c r="L51" s="800"/>
      <c r="M51" s="800"/>
      <c r="N51" s="800"/>
      <c r="O51" s="800"/>
      <c r="P51" s="800"/>
      <c r="Q51" s="800"/>
      <c r="R51" s="800"/>
      <c r="S51" s="800"/>
      <c r="T51" s="800"/>
      <c r="U51" s="800"/>
      <c r="V51" s="800"/>
      <c r="W51" s="800"/>
      <c r="X51" s="800"/>
      <c r="Y51" s="800"/>
      <c r="Z51" s="800"/>
      <c r="AA51" s="800"/>
      <c r="AB51" s="801"/>
    </row>
    <row r="52" spans="1:28" s="549" customFormat="1" ht="3.75" customHeight="1" x14ac:dyDescent="0.2">
      <c r="A52" s="546"/>
      <c r="B52" s="545"/>
      <c r="C52" s="547"/>
      <c r="D52" s="548"/>
      <c r="E52" s="548"/>
      <c r="F52" s="548"/>
      <c r="G52" s="548"/>
      <c r="H52" s="548"/>
      <c r="I52" s="548"/>
      <c r="J52" s="548"/>
      <c r="K52" s="548"/>
      <c r="L52" s="548"/>
      <c r="M52" s="548"/>
      <c r="N52" s="548"/>
      <c r="O52" s="548"/>
      <c r="P52" s="548"/>
      <c r="Q52" s="548"/>
      <c r="R52" s="548"/>
      <c r="S52" s="548"/>
      <c r="T52" s="548"/>
      <c r="U52" s="548"/>
      <c r="V52" s="548"/>
      <c r="W52" s="548"/>
      <c r="X52" s="548"/>
      <c r="Y52" s="548"/>
      <c r="Z52" s="548"/>
      <c r="AA52" s="548"/>
      <c r="AB52" s="548"/>
    </row>
    <row r="53" spans="1:28" s="468" customFormat="1" x14ac:dyDescent="0.2">
      <c r="A53" s="776" t="s">
        <v>270</v>
      </c>
      <c r="B53" s="777"/>
      <c r="C53" s="777"/>
      <c r="D53" s="777"/>
      <c r="E53" s="777"/>
      <c r="F53" s="777"/>
      <c r="G53" s="777"/>
      <c r="H53" s="777"/>
      <c r="I53" s="777"/>
      <c r="J53" s="777"/>
      <c r="K53" s="777"/>
      <c r="L53" s="777"/>
      <c r="M53" s="777"/>
      <c r="N53" s="777"/>
      <c r="O53" s="777"/>
      <c r="P53" s="777"/>
      <c r="Q53" s="777"/>
      <c r="R53" s="777"/>
      <c r="S53" s="777"/>
      <c r="T53" s="777"/>
      <c r="U53" s="777"/>
      <c r="V53" s="777"/>
      <c r="W53" s="777"/>
      <c r="X53" s="777"/>
      <c r="Y53" s="777"/>
      <c r="Z53" s="777"/>
      <c r="AA53" s="777"/>
      <c r="AB53" s="777"/>
    </row>
    <row r="54" spans="1:28" s="468" customFormat="1" ht="11.25" x14ac:dyDescent="0.15">
      <c r="A54" s="550" t="s">
        <v>271</v>
      </c>
      <c r="B54" s="551"/>
      <c r="C54" s="551"/>
      <c r="D54" s="551"/>
      <c r="E54" s="551"/>
      <c r="F54" s="551"/>
      <c r="G54" s="551"/>
      <c r="H54" s="551"/>
      <c r="I54" s="551"/>
      <c r="J54" s="551"/>
      <c r="K54" s="551"/>
      <c r="L54" s="551"/>
      <c r="M54" s="551"/>
      <c r="N54" s="551"/>
      <c r="O54" s="551"/>
      <c r="P54" s="551"/>
      <c r="Q54" s="551"/>
      <c r="R54" s="551"/>
      <c r="S54" s="551"/>
      <c r="T54" s="551"/>
      <c r="U54" s="551"/>
      <c r="V54" s="551"/>
      <c r="W54" s="551"/>
      <c r="X54" s="551"/>
      <c r="Y54" s="551"/>
      <c r="Z54" s="551"/>
      <c r="AA54" s="551"/>
      <c r="AB54" s="551"/>
    </row>
    <row r="55" spans="1:28" s="468" customFormat="1" ht="9.75" x14ac:dyDescent="0.15">
      <c r="A55" s="470"/>
      <c r="B55" s="469"/>
      <c r="C55" s="469"/>
      <c r="D55" s="469"/>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row>
    <row r="56" spans="1:28" s="468" customFormat="1" ht="9.75" x14ac:dyDescent="0.15">
      <c r="A56" s="471"/>
      <c r="B56" s="472"/>
      <c r="C56" s="472"/>
      <c r="D56" s="472"/>
      <c r="E56" s="472"/>
      <c r="F56" s="472"/>
      <c r="G56" s="472"/>
      <c r="H56" s="472"/>
      <c r="I56" s="472"/>
      <c r="J56" s="472"/>
      <c r="K56" s="472"/>
      <c r="L56" s="472"/>
      <c r="M56" s="472"/>
      <c r="N56" s="472"/>
      <c r="O56" s="472"/>
      <c r="P56" s="472"/>
      <c r="Q56" s="472"/>
      <c r="R56" s="472"/>
      <c r="S56" s="472"/>
      <c r="T56" s="472"/>
      <c r="U56" s="472"/>
      <c r="V56" s="472"/>
      <c r="W56" s="472"/>
      <c r="X56" s="472"/>
      <c r="Y56" s="472"/>
      <c r="Z56" s="472"/>
      <c r="AA56" s="472"/>
      <c r="AB56" s="472"/>
    </row>
  </sheetData>
  <protectedRanges>
    <protectedRange sqref="B19:M19 R20:Y20 A4:AB18 B20:Q52" name="Bereich1"/>
  </protectedRanges>
  <mergeCells count="45">
    <mergeCell ref="V3:Y3"/>
    <mergeCell ref="B3:E3"/>
    <mergeCell ref="F3:I3"/>
    <mergeCell ref="J3:M3"/>
    <mergeCell ref="N3:Q3"/>
    <mergeCell ref="R3:U3"/>
    <mergeCell ref="C23:AB23"/>
    <mergeCell ref="A24:A27"/>
    <mergeCell ref="C24:AB24"/>
    <mergeCell ref="C25:AB25"/>
    <mergeCell ref="C26:AB26"/>
    <mergeCell ref="C27:AB27"/>
    <mergeCell ref="A32:A35"/>
    <mergeCell ref="C32:AB32"/>
    <mergeCell ref="C33:AB33"/>
    <mergeCell ref="C34:AB34"/>
    <mergeCell ref="C35:AB35"/>
    <mergeCell ref="A28:A31"/>
    <mergeCell ref="C28:AB28"/>
    <mergeCell ref="C29:AB29"/>
    <mergeCell ref="C30:AB30"/>
    <mergeCell ref="C31:AB31"/>
    <mergeCell ref="C38:AB38"/>
    <mergeCell ref="C39:AB39"/>
    <mergeCell ref="A40:A43"/>
    <mergeCell ref="C40:AB40"/>
    <mergeCell ref="C41:AB41"/>
    <mergeCell ref="C42:AB42"/>
    <mergeCell ref="C43:AB43"/>
    <mergeCell ref="A53:AB53"/>
    <mergeCell ref="Z3:AB3"/>
    <mergeCell ref="Z16:AB16"/>
    <mergeCell ref="A44:A47"/>
    <mergeCell ref="C44:AB44"/>
    <mergeCell ref="C45:AB45"/>
    <mergeCell ref="C46:AB46"/>
    <mergeCell ref="C47:AB47"/>
    <mergeCell ref="A48:A51"/>
    <mergeCell ref="C48:AB48"/>
    <mergeCell ref="C49:AB49"/>
    <mergeCell ref="C50:AB50"/>
    <mergeCell ref="C51:AB51"/>
    <mergeCell ref="A36:A39"/>
    <mergeCell ref="C36:AB36"/>
    <mergeCell ref="C37:AB37"/>
  </mergeCells>
  <pageMargins left="0.19685039370078741" right="0.19685039370078741" top="0.19685039370078741" bottom="0.39370078740157483" header="0.11811023622047245" footer="0.19685039370078741"/>
  <pageSetup paperSize="8" scale="95" orientation="landscape" r:id="rId1"/>
  <headerFooter>
    <oddFooter>&amp;L&amp;"Arial Narrow,Standard"&amp;7DFG, 7. Dezember 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zoomScale="160" zoomScaleNormal="160" workbookViewId="0">
      <pane xSplit="1" ySplit="5" topLeftCell="B6" activePane="bottomRight" state="frozen"/>
      <selection pane="topRight" activeCell="B1" sqref="B1"/>
      <selection pane="bottomLeft" activeCell="A6" sqref="A6"/>
      <selection pane="bottomRight"/>
    </sheetView>
  </sheetViews>
  <sheetFormatPr baseColWidth="10" defaultColWidth="11.42578125" defaultRowHeight="12.75" x14ac:dyDescent="0.2"/>
  <cols>
    <col min="1" max="1" width="5.85546875" style="37" customWidth="1"/>
    <col min="2" max="3" width="7.7109375" style="2" customWidth="1"/>
    <col min="4" max="4" width="8.7109375" style="45" customWidth="1"/>
    <col min="5" max="5" width="8.140625" style="45" customWidth="1"/>
    <col min="6" max="6" width="7.7109375" style="45" customWidth="1"/>
    <col min="7" max="7" width="8.7109375" style="45" customWidth="1"/>
    <col min="8" max="10" width="9" style="45" customWidth="1"/>
    <col min="11" max="11" width="103.7109375" style="54" customWidth="1"/>
    <col min="12" max="12" width="100" style="54" customWidth="1"/>
    <col min="13" max="16384" width="11.42578125" style="37"/>
  </cols>
  <sheetData>
    <row r="1" spans="1:12" s="41" customFormat="1" ht="15.75" x14ac:dyDescent="0.25">
      <c r="A1" s="40" t="s">
        <v>35</v>
      </c>
      <c r="B1" s="2"/>
      <c r="C1" s="2"/>
      <c r="D1" s="42"/>
      <c r="E1" s="42"/>
      <c r="F1" s="42"/>
      <c r="G1" s="42"/>
      <c r="H1" s="42"/>
      <c r="I1" s="42"/>
      <c r="J1" s="42"/>
      <c r="K1" s="51"/>
      <c r="L1" s="51"/>
    </row>
    <row r="2" spans="1:12" s="39" customFormat="1" ht="12.75" customHeight="1" x14ac:dyDescent="0.2">
      <c r="A2" s="831" t="s">
        <v>275</v>
      </c>
      <c r="B2" s="707"/>
      <c r="C2" s="707"/>
      <c r="D2" s="707"/>
      <c r="E2" s="707"/>
      <c r="F2" s="707"/>
      <c r="G2" s="707"/>
      <c r="H2" s="707"/>
      <c r="I2" s="707"/>
      <c r="J2" s="707"/>
      <c r="K2" s="707"/>
      <c r="L2" s="52"/>
    </row>
    <row r="3" spans="1:12" s="39" customFormat="1" ht="6.75" customHeight="1" x14ac:dyDescent="0.2">
      <c r="B3" s="2"/>
      <c r="C3" s="2"/>
      <c r="D3" s="43"/>
      <c r="E3" s="43"/>
      <c r="F3" s="43"/>
      <c r="G3" s="43"/>
      <c r="H3" s="43"/>
      <c r="I3" s="43"/>
      <c r="J3" s="43"/>
      <c r="K3" s="52"/>
      <c r="L3" s="52"/>
    </row>
    <row r="4" spans="1:12" s="39" customFormat="1" ht="14.25" customHeight="1" x14ac:dyDescent="0.2">
      <c r="A4" s="267"/>
      <c r="B4" s="825" t="s">
        <v>33</v>
      </c>
      <c r="C4" s="826"/>
      <c r="D4" s="827"/>
      <c r="E4" s="825" t="s">
        <v>36</v>
      </c>
      <c r="F4" s="828"/>
      <c r="G4" s="827"/>
      <c r="H4" s="825" t="s">
        <v>31</v>
      </c>
      <c r="I4" s="827"/>
      <c r="J4" s="492" t="s">
        <v>278</v>
      </c>
      <c r="K4" s="268"/>
      <c r="L4" s="269"/>
    </row>
    <row r="5" spans="1:12" s="39" customFormat="1" ht="39" customHeight="1" x14ac:dyDescent="0.2">
      <c r="A5" s="270" t="s">
        <v>4</v>
      </c>
      <c r="B5" s="98" t="s">
        <v>27</v>
      </c>
      <c r="C5" s="360" t="s">
        <v>350</v>
      </c>
      <c r="D5" s="99" t="s">
        <v>387</v>
      </c>
      <c r="E5" s="100" t="s">
        <v>340</v>
      </c>
      <c r="F5" s="360" t="s">
        <v>350</v>
      </c>
      <c r="G5" s="99" t="s">
        <v>341</v>
      </c>
      <c r="H5" s="100" t="s">
        <v>342</v>
      </c>
      <c r="I5" s="99" t="s">
        <v>277</v>
      </c>
      <c r="J5" s="93" t="s">
        <v>279</v>
      </c>
      <c r="K5" s="101" t="s">
        <v>25</v>
      </c>
      <c r="L5" s="271" t="s">
        <v>26</v>
      </c>
    </row>
    <row r="6" spans="1:12" s="48" customFormat="1" ht="25.5" customHeight="1" x14ac:dyDescent="0.2">
      <c r="A6" s="272">
        <v>1997</v>
      </c>
      <c r="B6" s="76">
        <v>-5.0999999999999996</v>
      </c>
      <c r="C6" s="55">
        <f>8+8.891</f>
        <v>16.890999999999998</v>
      </c>
      <c r="D6" s="77">
        <f t="shared" ref="D6:D27" si="0">B6-C6</f>
        <v>-21.991</v>
      </c>
      <c r="E6" s="84">
        <v>-32.9</v>
      </c>
      <c r="F6" s="49">
        <v>8.42</v>
      </c>
      <c r="G6" s="81">
        <f t="shared" ref="G6:G21" si="1">E6-F6</f>
        <v>-41.32</v>
      </c>
      <c r="H6" s="87">
        <f t="shared" ref="H6:H27" si="2">D6-G6</f>
        <v>19.329000000000001</v>
      </c>
      <c r="I6" s="88">
        <f>H6/J6</f>
        <v>1.4425864906316588E-2</v>
      </c>
      <c r="J6" s="94">
        <f>1650.28-248.461-61.934</f>
        <v>1339.885</v>
      </c>
      <c r="K6" s="96" t="s">
        <v>411</v>
      </c>
      <c r="L6" s="273" t="s">
        <v>364</v>
      </c>
    </row>
    <row r="7" spans="1:12" s="48" customFormat="1" ht="25.5" customHeight="1" x14ac:dyDescent="0.2">
      <c r="A7" s="272">
        <v>1998</v>
      </c>
      <c r="B7" s="78">
        <v>-8.9</v>
      </c>
      <c r="C7" s="55">
        <f>-1.1+8.904</f>
        <v>7.8040000000000003</v>
      </c>
      <c r="D7" s="79">
        <f t="shared" si="0"/>
        <v>-16.704000000000001</v>
      </c>
      <c r="E7" s="85">
        <v>-67.2</v>
      </c>
      <c r="F7" s="49">
        <v>9.36</v>
      </c>
      <c r="G7" s="81">
        <f t="shared" si="1"/>
        <v>-76.56</v>
      </c>
      <c r="H7" s="89">
        <f t="shared" si="2"/>
        <v>59.856000000000002</v>
      </c>
      <c r="I7" s="90">
        <f t="shared" ref="I7:I29" si="3">H7/J7</f>
        <v>4.3483567256560017E-2</v>
      </c>
      <c r="J7" s="94">
        <f>1854.131-366.639-110.972</f>
        <v>1376.5200000000002</v>
      </c>
      <c r="K7" s="96" t="s">
        <v>353</v>
      </c>
      <c r="L7" s="273" t="s">
        <v>360</v>
      </c>
    </row>
    <row r="8" spans="1:12" s="48" customFormat="1" ht="25.5" customHeight="1" x14ac:dyDescent="0.2">
      <c r="A8" s="272">
        <v>1999</v>
      </c>
      <c r="B8" s="78">
        <v>-15.7</v>
      </c>
      <c r="C8" s="49">
        <v>0</v>
      </c>
      <c r="D8" s="79">
        <f t="shared" si="0"/>
        <v>-15.7</v>
      </c>
      <c r="E8" s="86">
        <f>-46.2</f>
        <v>-46.2</v>
      </c>
      <c r="F8" s="49">
        <v>0</v>
      </c>
      <c r="G8" s="81">
        <f t="shared" si="1"/>
        <v>-46.2</v>
      </c>
      <c r="H8" s="89">
        <f t="shared" si="2"/>
        <v>30.500000000000004</v>
      </c>
      <c r="I8" s="90">
        <f t="shared" si="3"/>
        <v>2.2104652848238877E-2</v>
      </c>
      <c r="J8" s="94">
        <v>1379.8</v>
      </c>
      <c r="K8" s="96"/>
      <c r="L8" s="273" t="s">
        <v>348</v>
      </c>
    </row>
    <row r="9" spans="1:12" s="48" customFormat="1" ht="25.5" customHeight="1" x14ac:dyDescent="0.2">
      <c r="A9" s="274">
        <v>2000</v>
      </c>
      <c r="B9" s="115">
        <v>-12.9</v>
      </c>
      <c r="C9" s="135">
        <v>0</v>
      </c>
      <c r="D9" s="116">
        <f t="shared" si="0"/>
        <v>-12.9</v>
      </c>
      <c r="E9" s="117">
        <f>-46.8</f>
        <v>-46.8</v>
      </c>
      <c r="F9" s="135">
        <v>0</v>
      </c>
      <c r="G9" s="134">
        <f t="shared" si="1"/>
        <v>-46.8</v>
      </c>
      <c r="H9" s="119">
        <f t="shared" si="2"/>
        <v>33.9</v>
      </c>
      <c r="I9" s="120">
        <f t="shared" si="3"/>
        <v>2.5011066843736166E-2</v>
      </c>
      <c r="J9" s="144">
        <f>1348.8+6.6</f>
        <v>1355.3999999999999</v>
      </c>
      <c r="K9" s="122"/>
      <c r="L9" s="275" t="s">
        <v>349</v>
      </c>
    </row>
    <row r="10" spans="1:12" s="48" customFormat="1" ht="25.5" customHeight="1" x14ac:dyDescent="0.2">
      <c r="A10" s="276">
        <v>2001</v>
      </c>
      <c r="B10" s="123">
        <v>-7.2</v>
      </c>
      <c r="C10" s="142">
        <v>0</v>
      </c>
      <c r="D10" s="125">
        <f t="shared" si="0"/>
        <v>-7.2</v>
      </c>
      <c r="E10" s="146">
        <f>-41.6</f>
        <v>-41.6</v>
      </c>
      <c r="F10" s="142">
        <v>0</v>
      </c>
      <c r="G10" s="141">
        <f t="shared" si="1"/>
        <v>-41.6</v>
      </c>
      <c r="H10" s="128">
        <f t="shared" si="2"/>
        <v>34.4</v>
      </c>
      <c r="I10" s="129">
        <f t="shared" si="3"/>
        <v>2.4239007891770012E-2</v>
      </c>
      <c r="J10" s="145">
        <f>1411.6+7.6</f>
        <v>1419.1999999999998</v>
      </c>
      <c r="K10" s="131"/>
      <c r="L10" s="277" t="s">
        <v>351</v>
      </c>
    </row>
    <row r="11" spans="1:12" s="48" customFormat="1" ht="25.5" customHeight="1" x14ac:dyDescent="0.2">
      <c r="A11" s="272">
        <v>2002</v>
      </c>
      <c r="B11" s="78">
        <v>-21.4</v>
      </c>
      <c r="C11" s="49">
        <v>0</v>
      </c>
      <c r="D11" s="79">
        <f t="shared" si="0"/>
        <v>-21.4</v>
      </c>
      <c r="E11" s="86">
        <v>-33.4</v>
      </c>
      <c r="F11" s="49">
        <v>0</v>
      </c>
      <c r="G11" s="81">
        <f t="shared" si="1"/>
        <v>-33.4</v>
      </c>
      <c r="H11" s="89">
        <f t="shared" si="2"/>
        <v>12</v>
      </c>
      <c r="I11" s="90">
        <f t="shared" si="3"/>
        <v>7.8848807411787906E-3</v>
      </c>
      <c r="J11" s="94">
        <f>1513.8+8.1</f>
        <v>1521.8999999999999</v>
      </c>
      <c r="K11" s="96"/>
      <c r="L11" s="273" t="s">
        <v>354</v>
      </c>
    </row>
    <row r="12" spans="1:12" s="50" customFormat="1" ht="25.5" customHeight="1" x14ac:dyDescent="0.2">
      <c r="A12" s="278">
        <v>2003</v>
      </c>
      <c r="B12" s="80">
        <v>-41.5</v>
      </c>
      <c r="C12" s="49">
        <v>0</v>
      </c>
      <c r="D12" s="81">
        <f t="shared" si="0"/>
        <v>-41.5</v>
      </c>
      <c r="E12" s="85">
        <v>-60.2</v>
      </c>
      <c r="F12" s="49">
        <v>0</v>
      </c>
      <c r="G12" s="81">
        <f t="shared" si="1"/>
        <v>-60.2</v>
      </c>
      <c r="H12" s="89">
        <f t="shared" si="2"/>
        <v>18.700000000000003</v>
      </c>
      <c r="I12" s="90">
        <f t="shared" si="3"/>
        <v>1.2199855819885766E-2</v>
      </c>
      <c r="J12" s="94">
        <f>1532.805</f>
        <v>1532.8050000000001</v>
      </c>
      <c r="K12" s="96"/>
      <c r="L12" s="273" t="s">
        <v>355</v>
      </c>
    </row>
    <row r="13" spans="1:12" s="50" customFormat="1" ht="25.5" customHeight="1" x14ac:dyDescent="0.2">
      <c r="A13" s="279">
        <v>2004</v>
      </c>
      <c r="B13" s="132">
        <v>20.3</v>
      </c>
      <c r="C13" s="133">
        <f>-29.8</f>
        <v>-29.8</v>
      </c>
      <c r="D13" s="134">
        <f t="shared" si="0"/>
        <v>50.1</v>
      </c>
      <c r="E13" s="117">
        <v>-20.9</v>
      </c>
      <c r="F13" s="135">
        <v>0</v>
      </c>
      <c r="G13" s="134">
        <f t="shared" si="1"/>
        <v>-20.9</v>
      </c>
      <c r="H13" s="119">
        <f t="shared" si="2"/>
        <v>71</v>
      </c>
      <c r="I13" s="120">
        <f t="shared" si="3"/>
        <v>4.6710526315789473E-2</v>
      </c>
      <c r="J13" s="144">
        <f>1519.9+0.1</f>
        <v>1520</v>
      </c>
      <c r="K13" s="122" t="s">
        <v>359</v>
      </c>
      <c r="L13" s="275" t="s">
        <v>361</v>
      </c>
    </row>
    <row r="14" spans="1:12" s="50" customFormat="1" ht="25.5" customHeight="1" x14ac:dyDescent="0.2">
      <c r="A14" s="280">
        <v>2005</v>
      </c>
      <c r="B14" s="139">
        <v>80.7</v>
      </c>
      <c r="C14" s="140">
        <f>-10</f>
        <v>-10</v>
      </c>
      <c r="D14" s="141">
        <f t="shared" si="0"/>
        <v>90.7</v>
      </c>
      <c r="E14" s="126">
        <v>-14.2</v>
      </c>
      <c r="F14" s="142">
        <v>0</v>
      </c>
      <c r="G14" s="141">
        <f t="shared" si="1"/>
        <v>-14.2</v>
      </c>
      <c r="H14" s="128">
        <f t="shared" si="2"/>
        <v>104.9</v>
      </c>
      <c r="I14" s="129">
        <f t="shared" si="3"/>
        <v>5.4649648345923424E-2</v>
      </c>
      <c r="J14" s="145">
        <f>1538.2+381.3</f>
        <v>1919.5</v>
      </c>
      <c r="K14" s="131" t="s">
        <v>440</v>
      </c>
      <c r="L14" s="277" t="s">
        <v>362</v>
      </c>
    </row>
    <row r="15" spans="1:12" s="50" customFormat="1" ht="25.5" customHeight="1" x14ac:dyDescent="0.2">
      <c r="A15" s="278">
        <v>2006</v>
      </c>
      <c r="B15" s="80">
        <v>357.1</v>
      </c>
      <c r="C15" s="56">
        <v>235.8</v>
      </c>
      <c r="D15" s="81">
        <f t="shared" si="0"/>
        <v>121.30000000000001</v>
      </c>
      <c r="E15" s="86">
        <v>45.6</v>
      </c>
      <c r="F15" s="49">
        <v>0</v>
      </c>
      <c r="G15" s="81">
        <f t="shared" si="1"/>
        <v>45.6</v>
      </c>
      <c r="H15" s="89">
        <f t="shared" si="2"/>
        <v>75.700000000000017</v>
      </c>
      <c r="I15" s="90">
        <f t="shared" si="3"/>
        <v>4.8036042896122857E-2</v>
      </c>
      <c r="J15" s="95">
        <v>1575.9</v>
      </c>
      <c r="K15" s="96" t="s">
        <v>439</v>
      </c>
      <c r="L15" s="273" t="s">
        <v>363</v>
      </c>
    </row>
    <row r="16" spans="1:12" s="50" customFormat="1" ht="25.5" customHeight="1" x14ac:dyDescent="0.2">
      <c r="A16" s="278">
        <v>2007</v>
      </c>
      <c r="B16" s="82">
        <v>50.1</v>
      </c>
      <c r="C16" s="56">
        <f>-53.8-56.1</f>
        <v>-109.9</v>
      </c>
      <c r="D16" s="81">
        <f t="shared" si="0"/>
        <v>160</v>
      </c>
      <c r="E16" s="86">
        <f>38.64</f>
        <v>38.64</v>
      </c>
      <c r="F16" s="49">
        <v>-27.5</v>
      </c>
      <c r="G16" s="81">
        <f t="shared" si="1"/>
        <v>66.14</v>
      </c>
      <c r="H16" s="89">
        <f t="shared" si="2"/>
        <v>93.86</v>
      </c>
      <c r="I16" s="90">
        <f t="shared" si="3"/>
        <v>5.6186602255006712E-2</v>
      </c>
      <c r="J16" s="95">
        <v>1670.5050000000001</v>
      </c>
      <c r="K16" s="96" t="s">
        <v>409</v>
      </c>
      <c r="L16" s="273" t="s">
        <v>365</v>
      </c>
    </row>
    <row r="17" spans="1:12" s="50" customFormat="1" ht="25.5" customHeight="1" x14ac:dyDescent="0.2">
      <c r="A17" s="279">
        <v>2008</v>
      </c>
      <c r="B17" s="137">
        <v>161.422</v>
      </c>
      <c r="C17" s="133">
        <v>-14.442</v>
      </c>
      <c r="D17" s="134">
        <f t="shared" si="0"/>
        <v>175.864</v>
      </c>
      <c r="E17" s="117">
        <v>55.911000000000001</v>
      </c>
      <c r="F17" s="135">
        <v>-72.8</v>
      </c>
      <c r="G17" s="134">
        <f t="shared" si="1"/>
        <v>128.71100000000001</v>
      </c>
      <c r="H17" s="119">
        <f t="shared" si="2"/>
        <v>47.152999999999992</v>
      </c>
      <c r="I17" s="120">
        <f t="shared" si="3"/>
        <v>2.5695057490055035E-2</v>
      </c>
      <c r="J17" s="494">
        <v>1835.1</v>
      </c>
      <c r="K17" s="138" t="s">
        <v>343</v>
      </c>
      <c r="L17" s="281" t="s">
        <v>366</v>
      </c>
    </row>
    <row r="18" spans="1:12" s="50" customFormat="1" ht="25.5" customHeight="1" x14ac:dyDescent="0.2">
      <c r="A18" s="280">
        <v>2009</v>
      </c>
      <c r="B18" s="139">
        <v>312.5</v>
      </c>
      <c r="C18" s="140">
        <f>195-9.1</f>
        <v>185.9</v>
      </c>
      <c r="D18" s="141">
        <f t="shared" si="0"/>
        <v>126.6</v>
      </c>
      <c r="E18" s="126">
        <v>14.781000000000001</v>
      </c>
      <c r="F18" s="142">
        <v>-13.53</v>
      </c>
      <c r="G18" s="141">
        <f t="shared" si="1"/>
        <v>28.311</v>
      </c>
      <c r="H18" s="128">
        <f t="shared" si="2"/>
        <v>98.288999999999987</v>
      </c>
      <c r="I18" s="129">
        <f t="shared" si="3"/>
        <v>5.2863443231323609E-2</v>
      </c>
      <c r="J18" s="493">
        <f>1845.1+9.9+4.3</f>
        <v>1859.3</v>
      </c>
      <c r="K18" s="143" t="s">
        <v>370</v>
      </c>
      <c r="L18" s="282" t="s">
        <v>367</v>
      </c>
    </row>
    <row r="19" spans="1:12" s="50" customFormat="1" ht="25.5" customHeight="1" x14ac:dyDescent="0.2">
      <c r="A19" s="278">
        <v>2010</v>
      </c>
      <c r="B19" s="80">
        <v>119.5</v>
      </c>
      <c r="C19" s="56">
        <v>10.9</v>
      </c>
      <c r="D19" s="81">
        <f t="shared" si="0"/>
        <v>108.6</v>
      </c>
      <c r="E19" s="86">
        <v>-40.688000000000002</v>
      </c>
      <c r="F19" s="49">
        <v>-5.7750000000000004</v>
      </c>
      <c r="G19" s="81">
        <f t="shared" si="1"/>
        <v>-34.913000000000004</v>
      </c>
      <c r="H19" s="89">
        <f t="shared" si="2"/>
        <v>143.51300000000001</v>
      </c>
      <c r="I19" s="90">
        <f t="shared" si="3"/>
        <v>7.4945427959684577E-2</v>
      </c>
      <c r="J19" s="95">
        <f>1898.1+3.4+13.4</f>
        <v>1914.9</v>
      </c>
      <c r="K19" s="97" t="s">
        <v>371</v>
      </c>
      <c r="L19" s="283" t="s">
        <v>368</v>
      </c>
    </row>
    <row r="20" spans="1:12" s="50" customFormat="1" ht="25.5" customHeight="1" x14ac:dyDescent="0.2">
      <c r="A20" s="278">
        <v>2011</v>
      </c>
      <c r="B20" s="80">
        <v>-154.99999999999997</v>
      </c>
      <c r="C20" s="56">
        <v>-257.89999999999998</v>
      </c>
      <c r="D20" s="81">
        <f t="shared" si="0"/>
        <v>102.9</v>
      </c>
      <c r="E20" s="86">
        <f>-284.045+258.265</f>
        <v>-25.78000000000003</v>
      </c>
      <c r="F20" s="49">
        <v>-5.03</v>
      </c>
      <c r="G20" s="81">
        <f t="shared" si="1"/>
        <v>-20.750000000000028</v>
      </c>
      <c r="H20" s="89">
        <f t="shared" si="2"/>
        <v>123.65000000000003</v>
      </c>
      <c r="I20" s="90">
        <f t="shared" si="3"/>
        <v>6.5957219821838178E-2</v>
      </c>
      <c r="J20" s="94">
        <f>1861.1+9.4+4.2</f>
        <v>1874.7</v>
      </c>
      <c r="K20" s="97" t="s">
        <v>372</v>
      </c>
      <c r="L20" s="283" t="s">
        <v>369</v>
      </c>
    </row>
    <row r="21" spans="1:12" s="50" customFormat="1" ht="25.5" customHeight="1" x14ac:dyDescent="0.2">
      <c r="A21" s="279" t="s">
        <v>37</v>
      </c>
      <c r="B21" s="132">
        <v>48.800000000000004</v>
      </c>
      <c r="C21" s="133">
        <v>5.0999999999999996</v>
      </c>
      <c r="D21" s="134">
        <f t="shared" si="0"/>
        <v>43.7</v>
      </c>
      <c r="E21" s="117">
        <f>-33.63+0.08+4.584</f>
        <v>-28.966000000000005</v>
      </c>
      <c r="F21" s="135">
        <v>-3.1669999999999998</v>
      </c>
      <c r="G21" s="134">
        <f t="shared" si="1"/>
        <v>-25.799000000000007</v>
      </c>
      <c r="H21" s="119">
        <f t="shared" si="2"/>
        <v>69.499000000000009</v>
      </c>
      <c r="I21" s="120">
        <f t="shared" si="3"/>
        <v>3.3482198776316432E-2</v>
      </c>
      <c r="J21" s="121">
        <f>1971.6+96.9+5+2.2</f>
        <v>2075.6999999999998</v>
      </c>
      <c r="K21" s="122" t="s">
        <v>373</v>
      </c>
      <c r="L21" s="275"/>
    </row>
    <row r="22" spans="1:12" s="48" customFormat="1" ht="25.5" customHeight="1" x14ac:dyDescent="0.2">
      <c r="A22" s="276" t="s">
        <v>110</v>
      </c>
      <c r="B22" s="136">
        <v>-33.548000000000002</v>
      </c>
      <c r="C22" s="124">
        <v>-73.081000000000003</v>
      </c>
      <c r="D22" s="125">
        <f t="shared" si="0"/>
        <v>39.533000000000001</v>
      </c>
      <c r="E22" s="126">
        <v>-52.514000000000003</v>
      </c>
      <c r="F22" s="127">
        <v>0</v>
      </c>
      <c r="G22" s="125">
        <v>-52.514000000000003</v>
      </c>
      <c r="H22" s="128">
        <f t="shared" si="2"/>
        <v>92.046999999999997</v>
      </c>
      <c r="I22" s="129">
        <f t="shared" si="3"/>
        <v>4.8873667292780962E-2</v>
      </c>
      <c r="J22" s="130">
        <v>1883.3659329999998</v>
      </c>
      <c r="K22" s="131" t="s">
        <v>375</v>
      </c>
      <c r="L22" s="277" t="s">
        <v>374</v>
      </c>
    </row>
    <row r="23" spans="1:12" s="48" customFormat="1" ht="25.5" customHeight="1" x14ac:dyDescent="0.2">
      <c r="A23" s="272">
        <v>2014</v>
      </c>
      <c r="B23" s="83">
        <v>55.155999999999999</v>
      </c>
      <c r="C23" s="55">
        <v>11.436</v>
      </c>
      <c r="D23" s="79">
        <f t="shared" si="0"/>
        <v>43.72</v>
      </c>
      <c r="E23" s="86">
        <v>-58.4</v>
      </c>
      <c r="F23" s="49">
        <v>0</v>
      </c>
      <c r="G23" s="81">
        <v>-58.4</v>
      </c>
      <c r="H23" s="89">
        <f t="shared" si="2"/>
        <v>102.12</v>
      </c>
      <c r="I23" s="90">
        <f t="shared" si="3"/>
        <v>5.3934472300203339E-2</v>
      </c>
      <c r="J23" s="95">
        <v>1893.4087169999993</v>
      </c>
      <c r="K23" s="96" t="s">
        <v>376</v>
      </c>
      <c r="L23" s="273" t="s">
        <v>344</v>
      </c>
    </row>
    <row r="24" spans="1:12" s="48" customFormat="1" ht="25.5" customHeight="1" x14ac:dyDescent="0.2">
      <c r="A24" s="272">
        <v>2015</v>
      </c>
      <c r="B24" s="83">
        <v>16.680000000000007</v>
      </c>
      <c r="C24" s="55">
        <v>-43.16</v>
      </c>
      <c r="D24" s="79">
        <f t="shared" si="0"/>
        <v>59.84</v>
      </c>
      <c r="E24" s="86">
        <v>-54.917000000000002</v>
      </c>
      <c r="F24" s="47">
        <v>8</v>
      </c>
      <c r="G24" s="79">
        <v>-62.917000000000002</v>
      </c>
      <c r="H24" s="89">
        <f t="shared" si="2"/>
        <v>122.75700000000001</v>
      </c>
      <c r="I24" s="90">
        <f t="shared" si="3"/>
        <v>6.3832118216768888E-2</v>
      </c>
      <c r="J24" s="94">
        <v>1923.1227699999995</v>
      </c>
      <c r="K24" s="96" t="s">
        <v>377</v>
      </c>
      <c r="L24" s="273" t="s">
        <v>379</v>
      </c>
    </row>
    <row r="25" spans="1:12" s="48" customFormat="1" ht="25.5" customHeight="1" x14ac:dyDescent="0.2">
      <c r="A25" s="274">
        <v>2016</v>
      </c>
      <c r="B25" s="115">
        <v>-51.468000000000004</v>
      </c>
      <c r="C25" s="112">
        <v>-67.900000000000006</v>
      </c>
      <c r="D25" s="116">
        <f t="shared" si="0"/>
        <v>16.432000000000002</v>
      </c>
      <c r="E25" s="117">
        <v>-50.816000000000003</v>
      </c>
      <c r="F25" s="118">
        <v>5</v>
      </c>
      <c r="G25" s="116">
        <v>-55.8</v>
      </c>
      <c r="H25" s="119">
        <f t="shared" si="2"/>
        <v>72.231999999999999</v>
      </c>
      <c r="I25" s="120">
        <f t="shared" si="3"/>
        <v>3.7129544368604231E-2</v>
      </c>
      <c r="J25" s="121">
        <v>1945.4049659999998</v>
      </c>
      <c r="K25" s="122" t="s">
        <v>378</v>
      </c>
      <c r="L25" s="275" t="s">
        <v>356</v>
      </c>
    </row>
    <row r="26" spans="1:12" s="48" customFormat="1" ht="25.5" customHeight="1" x14ac:dyDescent="0.2">
      <c r="A26" s="276">
        <v>2017</v>
      </c>
      <c r="B26" s="123">
        <v>128.80000000000001</v>
      </c>
      <c r="C26" s="124">
        <v>50.8</v>
      </c>
      <c r="D26" s="125">
        <f t="shared" si="0"/>
        <v>78.000000000000014</v>
      </c>
      <c r="E26" s="126">
        <v>-20.126000000000001</v>
      </c>
      <c r="F26" s="127">
        <v>7.4</v>
      </c>
      <c r="G26" s="125">
        <v>-27.526</v>
      </c>
      <c r="H26" s="128">
        <f t="shared" si="2"/>
        <v>105.52600000000001</v>
      </c>
      <c r="I26" s="129">
        <f t="shared" si="3"/>
        <v>5.3151529281103241E-2</v>
      </c>
      <c r="J26" s="130">
        <v>1985.3803160000002</v>
      </c>
      <c r="K26" s="131" t="s">
        <v>380</v>
      </c>
      <c r="L26" s="282" t="s">
        <v>381</v>
      </c>
    </row>
    <row r="27" spans="1:12" s="48" customFormat="1" ht="25.5" customHeight="1" x14ac:dyDescent="0.2">
      <c r="A27" s="278">
        <v>2018</v>
      </c>
      <c r="B27" s="80">
        <v>2.7000000000000028</v>
      </c>
      <c r="C27" s="56">
        <v>-102.5</v>
      </c>
      <c r="D27" s="81">
        <f t="shared" si="0"/>
        <v>105.2</v>
      </c>
      <c r="E27" s="86">
        <f>-23.2+0.4</f>
        <v>-22.8</v>
      </c>
      <c r="F27" s="49">
        <v>10.1</v>
      </c>
      <c r="G27" s="81">
        <f>-33.252+0.4</f>
        <v>-32.852000000000004</v>
      </c>
      <c r="H27" s="91">
        <f t="shared" si="2"/>
        <v>138.05200000000002</v>
      </c>
      <c r="I27" s="92">
        <f t="shared" si="3"/>
        <v>6.913023854867241E-2</v>
      </c>
      <c r="J27" s="94">
        <v>1996.984285</v>
      </c>
      <c r="K27" s="97" t="s">
        <v>382</v>
      </c>
      <c r="L27" s="283" t="s">
        <v>357</v>
      </c>
    </row>
    <row r="28" spans="1:12" s="48" customFormat="1" ht="25.5" customHeight="1" x14ac:dyDescent="0.2">
      <c r="A28" s="278">
        <v>2019</v>
      </c>
      <c r="B28" s="80">
        <v>53.616948999999998</v>
      </c>
      <c r="C28" s="56">
        <v>-61.879733999999999</v>
      </c>
      <c r="D28" s="81">
        <f t="shared" ref="D28" si="4">B28-C28</f>
        <v>115.49668299999999</v>
      </c>
      <c r="E28" s="86">
        <v>-33.677</v>
      </c>
      <c r="F28" s="49">
        <v>13.936999999999999</v>
      </c>
      <c r="G28" s="81">
        <v>-47.613999999999997</v>
      </c>
      <c r="H28" s="91">
        <f t="shared" ref="H28" si="5">D28-G28</f>
        <v>163.11068299999999</v>
      </c>
      <c r="I28" s="92">
        <f t="shared" si="3"/>
        <v>8.1291922301409358E-2</v>
      </c>
      <c r="J28" s="94">
        <v>2006.4808209999992</v>
      </c>
      <c r="K28" s="97" t="s">
        <v>383</v>
      </c>
      <c r="L28" s="283" t="s">
        <v>345</v>
      </c>
    </row>
    <row r="29" spans="1:12" s="48" customFormat="1" ht="25.5" customHeight="1" x14ac:dyDescent="0.2">
      <c r="A29" s="394">
        <v>2020</v>
      </c>
      <c r="B29" s="395">
        <v>81.899647000000002</v>
      </c>
      <c r="C29" s="396">
        <v>3.1282920000000001</v>
      </c>
      <c r="D29" s="397">
        <f t="shared" ref="D29:D30" si="6">B29-C29</f>
        <v>78.771355</v>
      </c>
      <c r="E29" s="288">
        <v>-33.055999999999997</v>
      </c>
      <c r="F29" s="398">
        <v>13.592000000000001</v>
      </c>
      <c r="G29" s="397">
        <f t="shared" ref="G29" si="7">E29-F29</f>
        <v>-46.647999999999996</v>
      </c>
      <c r="H29" s="399">
        <f>D29-G29</f>
        <v>125.419355</v>
      </c>
      <c r="I29" s="400">
        <f t="shared" si="3"/>
        <v>6.1331213400384527E-2</v>
      </c>
      <c r="J29" s="401">
        <v>2044.9514699999993</v>
      </c>
      <c r="K29" s="402" t="s">
        <v>384</v>
      </c>
      <c r="L29" s="403" t="s">
        <v>358</v>
      </c>
    </row>
    <row r="30" spans="1:12" s="48" customFormat="1" ht="25.5" customHeight="1" x14ac:dyDescent="0.2">
      <c r="A30" s="279">
        <v>2021</v>
      </c>
      <c r="B30" s="132">
        <v>134.30065300000024</v>
      </c>
      <c r="C30" s="133">
        <v>-5.1338739999999996</v>
      </c>
      <c r="D30" s="134">
        <f t="shared" si="6"/>
        <v>139.43452700000023</v>
      </c>
      <c r="E30" s="117">
        <v>-34.21</v>
      </c>
      <c r="F30" s="135">
        <v>21.44</v>
      </c>
      <c r="G30" s="134">
        <f t="shared" ref="G30" si="8">E30-F30</f>
        <v>-55.650000000000006</v>
      </c>
      <c r="H30" s="644">
        <f>D30-G30</f>
        <v>195.08452700000024</v>
      </c>
      <c r="I30" s="645">
        <f t="shared" ref="I30" si="9">H30/J30</f>
        <v>8.5852917191391556E-2</v>
      </c>
      <c r="J30" s="144">
        <v>2272.3109870000003</v>
      </c>
      <c r="K30" s="138" t="s">
        <v>464</v>
      </c>
      <c r="L30" s="281" t="s">
        <v>465</v>
      </c>
    </row>
    <row r="31" spans="1:12" s="603" customFormat="1" ht="25.5" customHeight="1" x14ac:dyDescent="0.2">
      <c r="A31" s="394">
        <v>2022</v>
      </c>
      <c r="B31" s="395"/>
      <c r="C31" s="396"/>
      <c r="D31" s="397"/>
      <c r="E31" s="288">
        <v>-8.9619999999999997</v>
      </c>
      <c r="F31" s="398">
        <v>32.784999999999997</v>
      </c>
      <c r="G31" s="397">
        <f>E31-F31</f>
        <v>-41.747</v>
      </c>
      <c r="H31" s="399"/>
      <c r="I31" s="400"/>
      <c r="J31" s="401"/>
      <c r="K31" s="402" t="s">
        <v>346</v>
      </c>
      <c r="L31" s="403" t="s">
        <v>347</v>
      </c>
    </row>
    <row r="32" spans="1:12" s="48" customFormat="1" ht="25.5" customHeight="1" x14ac:dyDescent="0.2">
      <c r="A32" s="284">
        <v>2023</v>
      </c>
      <c r="B32" s="285"/>
      <c r="C32" s="286"/>
      <c r="D32" s="287"/>
      <c r="E32" s="288">
        <f>-10.405-0.8</f>
        <v>-11.205</v>
      </c>
      <c r="F32" s="646">
        <v>27.858000000000001</v>
      </c>
      <c r="G32" s="287">
        <f>E32-F32</f>
        <v>-39.063000000000002</v>
      </c>
      <c r="H32" s="289"/>
      <c r="I32" s="290"/>
      <c r="J32" s="291"/>
      <c r="K32" s="647" t="s">
        <v>466</v>
      </c>
      <c r="L32" s="648" t="s">
        <v>467</v>
      </c>
    </row>
    <row r="33" spans="1:12" ht="4.5" customHeight="1" x14ac:dyDescent="0.2"/>
    <row r="34" spans="1:12" s="39" customFormat="1" x14ac:dyDescent="0.2">
      <c r="A34" s="831" t="s">
        <v>352</v>
      </c>
      <c r="B34" s="707"/>
      <c r="C34" s="707"/>
      <c r="D34" s="707"/>
      <c r="E34" s="707"/>
      <c r="F34" s="707"/>
      <c r="G34" s="707"/>
      <c r="H34" s="707"/>
      <c r="I34" s="707"/>
      <c r="J34" s="707"/>
      <c r="K34" s="707"/>
      <c r="L34" s="707"/>
    </row>
    <row r="35" spans="1:12" s="38" customFormat="1" ht="15" x14ac:dyDescent="0.2">
      <c r="A35" s="39" t="s">
        <v>38</v>
      </c>
      <c r="B35" s="2"/>
      <c r="C35" s="2"/>
      <c r="D35" s="44"/>
      <c r="E35" s="44"/>
      <c r="F35" s="44"/>
      <c r="G35" s="44"/>
      <c r="H35" s="44"/>
      <c r="I35" s="44"/>
      <c r="J35" s="44"/>
      <c r="K35" s="53"/>
      <c r="L35" s="53"/>
    </row>
    <row r="36" spans="1:12" s="38" customFormat="1" ht="15" x14ac:dyDescent="0.2">
      <c r="A36" s="39" t="s">
        <v>28</v>
      </c>
      <c r="B36" s="46"/>
      <c r="C36" s="2"/>
      <c r="D36" s="44"/>
      <c r="E36" s="44"/>
      <c r="F36" s="44"/>
      <c r="G36" s="44"/>
      <c r="H36" s="44"/>
      <c r="I36" s="44"/>
      <c r="J36" s="44"/>
      <c r="K36" s="53"/>
      <c r="L36" s="53"/>
    </row>
    <row r="37" spans="1:12" ht="15" x14ac:dyDescent="0.2">
      <c r="A37" s="39" t="s">
        <v>29</v>
      </c>
    </row>
    <row r="38" spans="1:12" s="522" customFormat="1" ht="15" x14ac:dyDescent="0.2">
      <c r="A38" s="65" t="s">
        <v>301</v>
      </c>
      <c r="B38" s="8"/>
      <c r="C38" s="8"/>
      <c r="D38" s="520"/>
      <c r="E38" s="520"/>
      <c r="F38" s="520"/>
      <c r="G38" s="520"/>
      <c r="H38" s="520"/>
      <c r="I38" s="520"/>
      <c r="J38" s="520"/>
      <c r="K38" s="521"/>
      <c r="L38" s="521"/>
    </row>
    <row r="39" spans="1:12" ht="15" x14ac:dyDescent="0.2">
      <c r="A39" s="63" t="s">
        <v>390</v>
      </c>
    </row>
    <row r="40" spans="1:12" ht="4.5" customHeight="1" x14ac:dyDescent="0.2"/>
    <row r="41" spans="1:12" s="48" customFormat="1" ht="25.5" customHeight="1" x14ac:dyDescent="0.2">
      <c r="A41" s="649" t="s">
        <v>386</v>
      </c>
      <c r="B41" s="650">
        <f>AVERAGE(B6:B12)</f>
        <v>-16.100000000000001</v>
      </c>
      <c r="C41" s="650">
        <f t="shared" ref="C41:I41" si="10">AVERAGE(C6:C12)</f>
        <v>3.527857142857143</v>
      </c>
      <c r="D41" s="650">
        <f t="shared" si="10"/>
        <v>-19.627857142857145</v>
      </c>
      <c r="E41" s="139">
        <f t="shared" si="10"/>
        <v>-46.9</v>
      </c>
      <c r="F41" s="650">
        <f t="shared" si="10"/>
        <v>2.54</v>
      </c>
      <c r="G41" s="651">
        <f t="shared" si="10"/>
        <v>-49.44</v>
      </c>
      <c r="H41" s="650">
        <f t="shared" si="10"/>
        <v>29.812142857142856</v>
      </c>
      <c r="I41" s="652">
        <f t="shared" si="10"/>
        <v>2.1335556615383746E-2</v>
      </c>
      <c r="J41" s="356">
        <f t="shared" ref="J41" si="11">AVERAGE(J6:J12)</f>
        <v>1417.93</v>
      </c>
      <c r="K41" s="653"/>
      <c r="L41" s="294"/>
    </row>
    <row r="42" spans="1:12" s="48" customFormat="1" ht="25.5" customHeight="1" x14ac:dyDescent="0.2">
      <c r="A42" s="654" t="s">
        <v>462</v>
      </c>
      <c r="B42" s="655"/>
      <c r="C42" s="655"/>
      <c r="D42" s="56"/>
      <c r="E42" s="82">
        <f>AVERAGE(E13:E32)</f>
        <v>-17.814249999999998</v>
      </c>
      <c r="F42" s="56">
        <f>AVERAGE(F13:F32)</f>
        <v>0.61549999999999927</v>
      </c>
      <c r="G42" s="656">
        <f>AVERAGE(G13:G32)</f>
        <v>-18.426549999999999</v>
      </c>
      <c r="H42" s="56"/>
      <c r="I42" s="657"/>
      <c r="J42" s="338"/>
      <c r="K42" s="658"/>
      <c r="L42" s="295"/>
    </row>
    <row r="43" spans="1:12" s="48" customFormat="1" ht="25.5" customHeight="1" x14ac:dyDescent="0.2">
      <c r="A43" s="659" t="s">
        <v>463</v>
      </c>
      <c r="B43" s="660"/>
      <c r="C43" s="660"/>
      <c r="D43" s="396"/>
      <c r="E43" s="661">
        <f>AVERAGE(E6:E32)</f>
        <v>-25.355</v>
      </c>
      <c r="F43" s="396">
        <f>AVERAGE(F6:F32)</f>
        <v>1.1144444444444441</v>
      </c>
      <c r="G43" s="662">
        <f>AVERAGE(G6:G32)</f>
        <v>-26.467074074074073</v>
      </c>
      <c r="H43" s="396"/>
      <c r="I43" s="663"/>
      <c r="J43" s="383"/>
      <c r="K43" s="664"/>
      <c r="L43" s="297"/>
    </row>
    <row r="44" spans="1:12" s="48" customFormat="1" ht="4.5" customHeight="1" x14ac:dyDescent="0.2">
      <c r="A44" s="665"/>
      <c r="B44" s="540"/>
      <c r="C44" s="540"/>
      <c r="D44" s="538"/>
      <c r="E44" s="538"/>
      <c r="F44" s="538"/>
      <c r="G44" s="538"/>
      <c r="H44" s="538"/>
      <c r="I44" s="666"/>
      <c r="J44" s="538"/>
      <c r="K44" s="667"/>
      <c r="L44" s="113"/>
    </row>
    <row r="45" spans="1:12" s="45" customFormat="1" x14ac:dyDescent="0.2">
      <c r="A45" s="829" t="s">
        <v>94</v>
      </c>
      <c r="B45" s="830"/>
      <c r="C45" s="830"/>
      <c r="D45" s="830"/>
      <c r="E45" s="830"/>
      <c r="F45" s="830"/>
      <c r="G45" s="830"/>
      <c r="H45" s="830"/>
      <c r="I45" s="830"/>
      <c r="J45" s="830"/>
      <c r="K45" s="830"/>
      <c r="L45" s="54"/>
    </row>
    <row r="46" spans="1:12" s="48" customFormat="1" ht="25.5" customHeight="1" x14ac:dyDescent="0.2">
      <c r="A46" s="649" t="s">
        <v>385</v>
      </c>
      <c r="B46" s="650">
        <f t="shared" ref="B46:I46" si="12">AVERAGE(B14:B17)</f>
        <v>162.3305</v>
      </c>
      <c r="C46" s="650">
        <f t="shared" si="12"/>
        <v>25.3645</v>
      </c>
      <c r="D46" s="650">
        <f t="shared" si="12"/>
        <v>136.96600000000001</v>
      </c>
      <c r="E46" s="139">
        <f t="shared" si="12"/>
        <v>31.487750000000002</v>
      </c>
      <c r="F46" s="650">
        <f t="shared" si="12"/>
        <v>-25.074999999999999</v>
      </c>
      <c r="G46" s="651">
        <f t="shared" si="12"/>
        <v>56.562750000000008</v>
      </c>
      <c r="H46" s="650">
        <f t="shared" si="12"/>
        <v>80.403250000000014</v>
      </c>
      <c r="I46" s="652">
        <f t="shared" si="12"/>
        <v>4.6141837746777013E-2</v>
      </c>
      <c r="J46" s="356">
        <f t="shared" ref="J46" si="13">AVERAGE(J14:J17)</f>
        <v>1750.2512500000003</v>
      </c>
      <c r="K46" s="653"/>
      <c r="L46" s="294"/>
    </row>
    <row r="47" spans="1:12" s="48" customFormat="1" ht="25.5" customHeight="1" x14ac:dyDescent="0.2">
      <c r="A47" s="654" t="s">
        <v>95</v>
      </c>
      <c r="B47" s="655">
        <f t="shared" ref="B47:I47" si="14">AVERAGE(B18:B21)</f>
        <v>81.45</v>
      </c>
      <c r="C47" s="655">
        <f t="shared" si="14"/>
        <v>-13.999999999999991</v>
      </c>
      <c r="D47" s="655">
        <f t="shared" si="14"/>
        <v>95.45</v>
      </c>
      <c r="E47" s="80">
        <f t="shared" si="14"/>
        <v>-20.163250000000009</v>
      </c>
      <c r="F47" s="655">
        <f t="shared" si="14"/>
        <v>-6.8755000000000006</v>
      </c>
      <c r="G47" s="668">
        <f t="shared" si="14"/>
        <v>-13.28775000000001</v>
      </c>
      <c r="H47" s="655">
        <f t="shared" si="14"/>
        <v>108.73775000000001</v>
      </c>
      <c r="I47" s="669">
        <f t="shared" si="14"/>
        <v>5.6812072447290696E-2</v>
      </c>
      <c r="J47" s="335">
        <f t="shared" ref="J47" si="15">AVERAGE(J18:J21)</f>
        <v>1931.1499999999999</v>
      </c>
      <c r="K47" s="658"/>
      <c r="L47" s="295"/>
    </row>
    <row r="48" spans="1:12" s="48" customFormat="1" ht="25.5" customHeight="1" x14ac:dyDescent="0.2">
      <c r="A48" s="654" t="s">
        <v>96</v>
      </c>
      <c r="B48" s="655">
        <f t="shared" ref="B48:I48" si="16">AVERAGE(B22:B25)</f>
        <v>-3.2949999999999999</v>
      </c>
      <c r="C48" s="655">
        <f t="shared" si="16"/>
        <v>-43.176250000000003</v>
      </c>
      <c r="D48" s="655">
        <f t="shared" si="16"/>
        <v>39.881250000000009</v>
      </c>
      <c r="E48" s="80">
        <f t="shared" si="16"/>
        <v>-54.161750000000005</v>
      </c>
      <c r="F48" s="655">
        <f t="shared" si="16"/>
        <v>3.25</v>
      </c>
      <c r="G48" s="668">
        <f t="shared" si="16"/>
        <v>-57.407750000000007</v>
      </c>
      <c r="H48" s="655">
        <f t="shared" si="16"/>
        <v>97.288999999999987</v>
      </c>
      <c r="I48" s="669">
        <f t="shared" si="16"/>
        <v>5.0942450544589346E-2</v>
      </c>
      <c r="J48" s="335">
        <f t="shared" ref="J48" si="17">AVERAGE(J22:J25)</f>
        <v>1911.3255964999998</v>
      </c>
      <c r="K48" s="658"/>
      <c r="L48" s="295"/>
    </row>
    <row r="49" spans="1:12" s="48" customFormat="1" ht="25.5" customHeight="1" x14ac:dyDescent="0.2">
      <c r="A49" s="670" t="s">
        <v>97</v>
      </c>
      <c r="B49" s="671">
        <f t="shared" ref="B49:I49" si="18">AVERAGE(B26:B29)</f>
        <v>66.754148999999998</v>
      </c>
      <c r="C49" s="671">
        <f t="shared" si="18"/>
        <v>-27.6128605</v>
      </c>
      <c r="D49" s="671">
        <f t="shared" si="18"/>
        <v>94.367009499999995</v>
      </c>
      <c r="E49" s="132">
        <f t="shared" si="18"/>
        <v>-27.414750000000002</v>
      </c>
      <c r="F49" s="671">
        <f t="shared" si="18"/>
        <v>11.257249999999999</v>
      </c>
      <c r="G49" s="672">
        <f t="shared" si="18"/>
        <v>-38.659999999999997</v>
      </c>
      <c r="H49" s="671">
        <f>AVERAGE(H26:H29)</f>
        <v>133.02700950000002</v>
      </c>
      <c r="I49" s="673">
        <f t="shared" si="18"/>
        <v>6.6226225882892384E-2</v>
      </c>
      <c r="J49" s="347">
        <f t="shared" ref="J49" si="19">AVERAGE(J26:J29)</f>
        <v>2008.4492229999996</v>
      </c>
      <c r="K49" s="674"/>
      <c r="L49" s="404"/>
    </row>
    <row r="50" spans="1:12" s="48" customFormat="1" ht="25.5" customHeight="1" x14ac:dyDescent="0.2">
      <c r="A50" s="659" t="s">
        <v>160</v>
      </c>
      <c r="B50" s="660"/>
      <c r="C50" s="660"/>
      <c r="D50" s="660"/>
      <c r="E50" s="395">
        <f>AVERAGE(E30:E32)</f>
        <v>-18.125666666666664</v>
      </c>
      <c r="F50" s="660">
        <f>AVERAGE(F30:F32)</f>
        <v>27.361000000000001</v>
      </c>
      <c r="G50" s="675">
        <f>AVERAGE(G30:G32)</f>
        <v>-45.486666666666672</v>
      </c>
      <c r="H50" s="660"/>
      <c r="I50" s="676"/>
      <c r="J50" s="634"/>
      <c r="K50" s="664"/>
      <c r="L50" s="297"/>
    </row>
  </sheetData>
  <mergeCells count="6">
    <mergeCell ref="B4:D4"/>
    <mergeCell ref="H4:I4"/>
    <mergeCell ref="E4:G4"/>
    <mergeCell ref="A45:K45"/>
    <mergeCell ref="A2:K2"/>
    <mergeCell ref="A34:L34"/>
  </mergeCells>
  <pageMargins left="0.19685039370078741" right="0.19685039370078741" top="0.39370078740157483" bottom="0.59055118110236227" header="0.31496062992125984" footer="0.31496062992125984"/>
  <pageSetup paperSize="8" scale="71" orientation="landscape" r:id="rId1"/>
  <headerFooter>
    <oddFooter>&amp;L&amp;"Arial Narrow,Standard"DFG, 7. Dezember 2022</oddFooter>
  </headerFooter>
  <rowBreaks count="1" manualBreakCount="1">
    <brk id="33"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8"/>
  <sheetViews>
    <sheetView zoomScaleNormal="100" workbookViewId="0">
      <pane xSplit="1" ySplit="5" topLeftCell="B6" activePane="bottomRight" state="frozen"/>
      <selection pane="topRight" activeCell="B1" sqref="B1"/>
      <selection pane="bottomLeft" activeCell="A6" sqref="A6"/>
      <selection pane="bottomRight"/>
    </sheetView>
  </sheetViews>
  <sheetFormatPr baseColWidth="10" defaultColWidth="11.42578125" defaultRowHeight="12.75" x14ac:dyDescent="0.2"/>
  <cols>
    <col min="1" max="1" width="5.85546875" style="2" customWidth="1"/>
    <col min="2" max="2" width="7.85546875" style="2" customWidth="1"/>
    <col min="3" max="3" width="7.7109375" style="2" customWidth="1"/>
    <col min="4" max="4" width="8.28515625" style="2" customWidth="1"/>
    <col min="5" max="5" width="6.85546875" style="2" customWidth="1"/>
    <col min="6" max="6" width="7.7109375" style="2" customWidth="1"/>
    <col min="7" max="7" width="8.42578125" style="2" customWidth="1"/>
    <col min="8" max="8" width="8.28515625" style="2" customWidth="1"/>
    <col min="9" max="10" width="7.42578125" style="2" customWidth="1"/>
    <col min="11" max="11" width="162" style="60" customWidth="1"/>
    <col min="12" max="13" width="9.5703125" style="58" customWidth="1"/>
    <col min="14" max="16384" width="11.42578125" style="2"/>
  </cols>
  <sheetData>
    <row r="1" spans="1:13" ht="15.75" x14ac:dyDescent="0.25">
      <c r="A1" s="1" t="s">
        <v>30</v>
      </c>
    </row>
    <row r="2" spans="1:13" ht="12.75" customHeight="1" x14ac:dyDescent="0.2">
      <c r="A2" s="2" t="s">
        <v>276</v>
      </c>
    </row>
    <row r="3" spans="1:13" ht="12.75" customHeight="1" x14ac:dyDescent="0.2"/>
    <row r="4" spans="1:13" s="57" customFormat="1" ht="13.5" customHeight="1" x14ac:dyDescent="0.2">
      <c r="A4" s="299"/>
      <c r="B4" s="832" t="s">
        <v>33</v>
      </c>
      <c r="C4" s="833"/>
      <c r="D4" s="834"/>
      <c r="E4" s="832" t="s">
        <v>75</v>
      </c>
      <c r="F4" s="826"/>
      <c r="G4" s="826"/>
      <c r="H4" s="827"/>
      <c r="I4" s="832" t="s">
        <v>31</v>
      </c>
      <c r="J4" s="827"/>
      <c r="K4" s="300"/>
      <c r="L4" s="190"/>
      <c r="M4" s="190"/>
    </row>
    <row r="5" spans="1:13" s="7" customFormat="1" ht="39" customHeight="1" x14ac:dyDescent="0.2">
      <c r="A5" s="301" t="s">
        <v>4</v>
      </c>
      <c r="B5" s="147" t="s">
        <v>392</v>
      </c>
      <c r="C5" s="148" t="s">
        <v>388</v>
      </c>
      <c r="D5" s="149" t="s">
        <v>393</v>
      </c>
      <c r="E5" s="147" t="s">
        <v>394</v>
      </c>
      <c r="F5" s="148" t="s">
        <v>388</v>
      </c>
      <c r="G5" s="563" t="s">
        <v>427</v>
      </c>
      <c r="H5" s="149" t="s">
        <v>395</v>
      </c>
      <c r="I5" s="147" t="s">
        <v>397</v>
      </c>
      <c r="J5" s="149" t="s">
        <v>396</v>
      </c>
      <c r="K5" s="302" t="s">
        <v>78</v>
      </c>
      <c r="L5" s="191"/>
      <c r="M5" s="14"/>
    </row>
    <row r="6" spans="1:13" s="9" customFormat="1" ht="13.5" customHeight="1" x14ac:dyDescent="0.2">
      <c r="A6" s="303">
        <v>1997</v>
      </c>
      <c r="B6" s="155">
        <v>183.2</v>
      </c>
      <c r="C6" s="156">
        <v>22.3</v>
      </c>
      <c r="D6" s="157">
        <f t="shared" ref="D6:D27" si="0">B6-C6</f>
        <v>160.89999999999998</v>
      </c>
      <c r="E6" s="155">
        <v>191.142</v>
      </c>
      <c r="F6" s="156">
        <v>-4.0910000000000002</v>
      </c>
      <c r="G6" s="564">
        <v>205</v>
      </c>
      <c r="H6" s="158">
        <f t="shared" ref="H6:H27" si="1">E6-F6</f>
        <v>195.233</v>
      </c>
      <c r="I6" s="155">
        <f t="shared" ref="I6:I27" si="2">D6-H6</f>
        <v>-34.333000000000027</v>
      </c>
      <c r="J6" s="159">
        <f t="shared" ref="J6:J27" si="3">I6/D6</f>
        <v>-0.21338098197638306</v>
      </c>
      <c r="K6" s="304" t="s">
        <v>111</v>
      </c>
      <c r="L6" s="192"/>
      <c r="M6" s="193"/>
    </row>
    <row r="7" spans="1:13" s="3" customFormat="1" ht="13.5" customHeight="1" x14ac:dyDescent="0.2">
      <c r="A7" s="305">
        <v>1998</v>
      </c>
      <c r="B7" s="72">
        <v>187.7</v>
      </c>
      <c r="C7" s="10">
        <v>20.7</v>
      </c>
      <c r="D7" s="73">
        <f t="shared" si="0"/>
        <v>167</v>
      </c>
      <c r="E7" s="72">
        <v>198.65600000000001</v>
      </c>
      <c r="F7" s="10">
        <v>5.9</v>
      </c>
      <c r="G7" s="565">
        <v>205</v>
      </c>
      <c r="H7" s="106">
        <f t="shared" si="1"/>
        <v>192.756</v>
      </c>
      <c r="I7" s="72">
        <f t="shared" si="2"/>
        <v>-25.756</v>
      </c>
      <c r="J7" s="75">
        <f t="shared" si="3"/>
        <v>-0.15422754491017965</v>
      </c>
      <c r="K7" s="306" t="s">
        <v>112</v>
      </c>
      <c r="L7" s="194"/>
      <c r="M7" s="195"/>
    </row>
    <row r="8" spans="1:13" s="9" customFormat="1" ht="13.5" customHeight="1" x14ac:dyDescent="0.2">
      <c r="A8" s="305">
        <v>1999</v>
      </c>
      <c r="B8" s="72">
        <v>158.55351400000001</v>
      </c>
      <c r="C8" s="10">
        <f>1.236-9.589</f>
        <v>-8.3529999999999998</v>
      </c>
      <c r="D8" s="73">
        <f t="shared" si="0"/>
        <v>166.90651400000002</v>
      </c>
      <c r="E8" s="72">
        <v>171.4</v>
      </c>
      <c r="F8" s="10">
        <v>0</v>
      </c>
      <c r="G8" s="565">
        <v>205</v>
      </c>
      <c r="H8" s="106">
        <f t="shared" si="1"/>
        <v>171.4</v>
      </c>
      <c r="I8" s="72">
        <f t="shared" si="2"/>
        <v>-4.4934859999999901</v>
      </c>
      <c r="J8" s="75">
        <f t="shared" si="3"/>
        <v>-2.6922172731976116E-2</v>
      </c>
      <c r="K8" s="306" t="s">
        <v>113</v>
      </c>
      <c r="L8" s="192"/>
      <c r="M8" s="193"/>
    </row>
    <row r="9" spans="1:13" s="62" customFormat="1" ht="13.5" customHeight="1" x14ac:dyDescent="0.2">
      <c r="A9" s="307">
        <v>2000</v>
      </c>
      <c r="B9" s="160">
        <v>138.1</v>
      </c>
      <c r="C9" s="161">
        <v>-12.4</v>
      </c>
      <c r="D9" s="162">
        <f t="shared" si="0"/>
        <v>150.5</v>
      </c>
      <c r="E9" s="160">
        <v>157.4</v>
      </c>
      <c r="F9" s="161">
        <v>-2.4</v>
      </c>
      <c r="G9" s="566">
        <v>205</v>
      </c>
      <c r="H9" s="163">
        <f t="shared" si="1"/>
        <v>159.80000000000001</v>
      </c>
      <c r="I9" s="160">
        <f t="shared" si="2"/>
        <v>-9.3000000000000114</v>
      </c>
      <c r="J9" s="164">
        <f t="shared" si="3"/>
        <v>-6.1794019933554892E-2</v>
      </c>
      <c r="K9" s="308" t="s">
        <v>114</v>
      </c>
      <c r="L9" s="196"/>
      <c r="M9" s="197"/>
    </row>
    <row r="10" spans="1:13" s="62" customFormat="1" ht="13.5" customHeight="1" x14ac:dyDescent="0.2">
      <c r="A10" s="309">
        <v>2001</v>
      </c>
      <c r="B10" s="150">
        <v>124.6</v>
      </c>
      <c r="C10" s="151">
        <v>-20.5</v>
      </c>
      <c r="D10" s="152">
        <f t="shared" si="0"/>
        <v>145.1</v>
      </c>
      <c r="E10" s="150">
        <v>140.6</v>
      </c>
      <c r="F10" s="151">
        <v>-13.1</v>
      </c>
      <c r="G10" s="567">
        <v>170</v>
      </c>
      <c r="H10" s="153">
        <f t="shared" si="1"/>
        <v>153.69999999999999</v>
      </c>
      <c r="I10" s="150">
        <f t="shared" si="2"/>
        <v>-8.5999999999999943</v>
      </c>
      <c r="J10" s="154">
        <f t="shared" si="3"/>
        <v>-5.9269469331495482E-2</v>
      </c>
      <c r="K10" s="310" t="s">
        <v>66</v>
      </c>
      <c r="L10" s="196"/>
      <c r="M10" s="197"/>
    </row>
    <row r="11" spans="1:13" s="62" customFormat="1" ht="13.5" customHeight="1" x14ac:dyDescent="0.2">
      <c r="A11" s="311">
        <v>2002</v>
      </c>
      <c r="B11" s="102">
        <v>147.5</v>
      </c>
      <c r="C11" s="64">
        <v>-6.3000000000000096</v>
      </c>
      <c r="D11" s="103">
        <f t="shared" si="0"/>
        <v>153.80000000000001</v>
      </c>
      <c r="E11" s="102">
        <v>158</v>
      </c>
      <c r="F11" s="64">
        <v>-5.5</v>
      </c>
      <c r="G11" s="568">
        <v>170</v>
      </c>
      <c r="H11" s="107">
        <f t="shared" si="1"/>
        <v>163.5</v>
      </c>
      <c r="I11" s="102">
        <f t="shared" si="2"/>
        <v>-9.6999999999999886</v>
      </c>
      <c r="J11" s="108">
        <f t="shared" si="3"/>
        <v>-6.3068920676202789E-2</v>
      </c>
      <c r="K11" s="312" t="s">
        <v>67</v>
      </c>
      <c r="L11" s="196"/>
      <c r="M11" s="197"/>
    </row>
    <row r="12" spans="1:13" s="62" customFormat="1" ht="13.5" customHeight="1" x14ac:dyDescent="0.2">
      <c r="A12" s="311">
        <v>2003</v>
      </c>
      <c r="B12" s="102">
        <v>155.488</v>
      </c>
      <c r="C12" s="64">
        <v>6.0999999999999999E-2</v>
      </c>
      <c r="D12" s="103">
        <f t="shared" si="0"/>
        <v>155.42699999999999</v>
      </c>
      <c r="E12" s="102">
        <v>166</v>
      </c>
      <c r="F12" s="64">
        <v>6</v>
      </c>
      <c r="G12" s="568">
        <v>170</v>
      </c>
      <c r="H12" s="107">
        <f t="shared" si="1"/>
        <v>160</v>
      </c>
      <c r="I12" s="102">
        <f t="shared" si="2"/>
        <v>-4.5730000000000075</v>
      </c>
      <c r="J12" s="108">
        <f t="shared" si="3"/>
        <v>-2.9422172466817269E-2</v>
      </c>
      <c r="K12" s="312" t="s">
        <v>63</v>
      </c>
      <c r="L12" s="196"/>
      <c r="M12" s="197"/>
    </row>
    <row r="13" spans="1:13" s="62" customFormat="1" ht="13.5" customHeight="1" x14ac:dyDescent="0.2">
      <c r="A13" s="313">
        <v>2004</v>
      </c>
      <c r="B13" s="165">
        <v>148.03899999999999</v>
      </c>
      <c r="C13" s="166">
        <v>6.6000000000000003E-2</v>
      </c>
      <c r="D13" s="167">
        <f t="shared" si="0"/>
        <v>147.97299999999998</v>
      </c>
      <c r="E13" s="165">
        <v>155.9</v>
      </c>
      <c r="F13" s="166">
        <v>4</v>
      </c>
      <c r="G13" s="569">
        <v>170</v>
      </c>
      <c r="H13" s="168">
        <f t="shared" si="1"/>
        <v>151.9</v>
      </c>
      <c r="I13" s="165">
        <f t="shared" si="2"/>
        <v>-3.9270000000000209</v>
      </c>
      <c r="J13" s="169">
        <f t="shared" si="3"/>
        <v>-2.653862528974895E-2</v>
      </c>
      <c r="K13" s="314" t="s">
        <v>64</v>
      </c>
      <c r="L13" s="196"/>
      <c r="M13" s="197"/>
    </row>
    <row r="14" spans="1:13" s="62" customFormat="1" ht="13.5" customHeight="1" x14ac:dyDescent="0.2">
      <c r="A14" s="315">
        <v>2005</v>
      </c>
      <c r="B14" s="171">
        <v>529.5</v>
      </c>
      <c r="C14" s="172">
        <f>381.3+1.1</f>
        <v>382.40000000000003</v>
      </c>
      <c r="D14" s="173">
        <f t="shared" si="0"/>
        <v>147.09999999999997</v>
      </c>
      <c r="E14" s="171">
        <v>559.1</v>
      </c>
      <c r="F14" s="172">
        <f>400+1</f>
        <v>401</v>
      </c>
      <c r="G14" s="570">
        <v>170</v>
      </c>
      <c r="H14" s="174">
        <f t="shared" si="1"/>
        <v>158.10000000000002</v>
      </c>
      <c r="I14" s="171">
        <f t="shared" si="2"/>
        <v>-11.000000000000057</v>
      </c>
      <c r="J14" s="175">
        <f t="shared" si="3"/>
        <v>-7.4779061862678853E-2</v>
      </c>
      <c r="K14" s="316" t="s">
        <v>68</v>
      </c>
      <c r="L14" s="196"/>
      <c r="M14" s="197"/>
    </row>
    <row r="15" spans="1:13" s="9" customFormat="1" ht="25.5" customHeight="1" x14ac:dyDescent="0.2">
      <c r="A15" s="305">
        <v>2006</v>
      </c>
      <c r="B15" s="72">
        <v>127</v>
      </c>
      <c r="C15" s="10">
        <f>-40+0.2</f>
        <v>-39.799999999999997</v>
      </c>
      <c r="D15" s="73">
        <f t="shared" si="0"/>
        <v>166.8</v>
      </c>
      <c r="E15" s="72">
        <v>172.2</v>
      </c>
      <c r="F15" s="10">
        <v>0.5</v>
      </c>
      <c r="G15" s="568">
        <v>170</v>
      </c>
      <c r="H15" s="571">
        <f t="shared" si="1"/>
        <v>171.7</v>
      </c>
      <c r="I15" s="72">
        <f t="shared" si="2"/>
        <v>-4.8999999999999773</v>
      </c>
      <c r="J15" s="75">
        <f t="shared" si="3"/>
        <v>-2.9376498800959095E-2</v>
      </c>
      <c r="K15" s="306" t="s">
        <v>429</v>
      </c>
      <c r="L15" s="192"/>
      <c r="M15" s="193"/>
    </row>
    <row r="16" spans="1:13" s="61" customFormat="1" ht="25.5" customHeight="1" x14ac:dyDescent="0.2">
      <c r="A16" s="311">
        <v>2007</v>
      </c>
      <c r="B16" s="102">
        <v>184.99199999999999</v>
      </c>
      <c r="C16" s="64">
        <f>22.008+0.7</f>
        <v>22.707999999999998</v>
      </c>
      <c r="D16" s="103">
        <f t="shared" si="0"/>
        <v>162.28399999999999</v>
      </c>
      <c r="E16" s="102">
        <v>202.3</v>
      </c>
      <c r="F16" s="64">
        <f>22+3</f>
        <v>25</v>
      </c>
      <c r="G16" s="568">
        <v>170</v>
      </c>
      <c r="H16" s="571">
        <f t="shared" si="1"/>
        <v>177.3</v>
      </c>
      <c r="I16" s="102">
        <f t="shared" si="2"/>
        <v>-15.01600000000002</v>
      </c>
      <c r="J16" s="108">
        <f t="shared" si="3"/>
        <v>-9.2529146434645562E-2</v>
      </c>
      <c r="K16" s="312" t="s">
        <v>430</v>
      </c>
      <c r="L16" s="198"/>
      <c r="M16" s="199"/>
    </row>
    <row r="17" spans="1:13" s="62" customFormat="1" ht="25.5" customHeight="1" x14ac:dyDescent="0.2">
      <c r="A17" s="307">
        <v>2008</v>
      </c>
      <c r="B17" s="160">
        <v>195.7</v>
      </c>
      <c r="C17" s="161">
        <f>0.3+1.7+6.3</f>
        <v>8.3000000000000007</v>
      </c>
      <c r="D17" s="162">
        <f t="shared" si="0"/>
        <v>187.39999999999998</v>
      </c>
      <c r="E17" s="160">
        <v>204.5</v>
      </c>
      <c r="F17" s="161">
        <f>1+3</f>
        <v>4</v>
      </c>
      <c r="G17" s="566">
        <v>170</v>
      </c>
      <c r="H17" s="176">
        <f t="shared" si="1"/>
        <v>200.5</v>
      </c>
      <c r="I17" s="160">
        <f t="shared" si="2"/>
        <v>-13.100000000000023</v>
      </c>
      <c r="J17" s="164">
        <f t="shared" si="3"/>
        <v>-6.9903948772678887E-2</v>
      </c>
      <c r="K17" s="308" t="s">
        <v>115</v>
      </c>
      <c r="L17" s="196"/>
      <c r="M17" s="197"/>
    </row>
    <row r="18" spans="1:13" s="62" customFormat="1" ht="25.5" customHeight="1" x14ac:dyDescent="0.2">
      <c r="A18" s="309">
        <v>2009</v>
      </c>
      <c r="B18" s="150">
        <v>177</v>
      </c>
      <c r="C18" s="151">
        <f>4.3+1.5-25+8.3</f>
        <v>-10.899999999999999</v>
      </c>
      <c r="D18" s="152">
        <f t="shared" si="0"/>
        <v>187.9</v>
      </c>
      <c r="E18" s="150">
        <v>221.9</v>
      </c>
      <c r="F18" s="151">
        <f>9.5-0.3+8.8</f>
        <v>18</v>
      </c>
      <c r="G18" s="567">
        <v>200</v>
      </c>
      <c r="H18" s="571">
        <f>E18-F18</f>
        <v>203.9</v>
      </c>
      <c r="I18" s="170">
        <f t="shared" si="2"/>
        <v>-16</v>
      </c>
      <c r="J18" s="154">
        <f t="shared" si="3"/>
        <v>-8.5151676423629585E-2</v>
      </c>
      <c r="K18" s="310" t="s">
        <v>431</v>
      </c>
      <c r="L18" s="197"/>
      <c r="M18" s="197"/>
    </row>
    <row r="19" spans="1:13" s="61" customFormat="1" ht="13.5" customHeight="1" x14ac:dyDescent="0.2">
      <c r="A19" s="317">
        <v>2010</v>
      </c>
      <c r="B19" s="104">
        <v>217.3</v>
      </c>
      <c r="C19" s="59">
        <v>11.993</v>
      </c>
      <c r="D19" s="103">
        <f t="shared" si="0"/>
        <v>205.30700000000002</v>
      </c>
      <c r="E19" s="104">
        <v>237.3</v>
      </c>
      <c r="F19" s="59">
        <f>4.6+8.8</f>
        <v>13.4</v>
      </c>
      <c r="G19" s="836" t="s">
        <v>428</v>
      </c>
      <c r="H19" s="107">
        <f t="shared" si="1"/>
        <v>223.9</v>
      </c>
      <c r="I19" s="110">
        <f t="shared" si="2"/>
        <v>-18.592999999999989</v>
      </c>
      <c r="J19" s="109">
        <f t="shared" si="3"/>
        <v>-9.0561938949962673E-2</v>
      </c>
      <c r="K19" s="318" t="s">
        <v>69</v>
      </c>
      <c r="L19" s="199"/>
      <c r="M19" s="199"/>
    </row>
    <row r="20" spans="1:13" s="61" customFormat="1" ht="13.5" customHeight="1" x14ac:dyDescent="0.2">
      <c r="A20" s="317">
        <v>2011</v>
      </c>
      <c r="B20" s="104">
        <v>203.7</v>
      </c>
      <c r="C20" s="59">
        <v>7.7</v>
      </c>
      <c r="D20" s="105">
        <f t="shared" si="0"/>
        <v>196</v>
      </c>
      <c r="E20" s="104">
        <v>223.25299999999999</v>
      </c>
      <c r="F20" s="59">
        <v>12.5</v>
      </c>
      <c r="G20" s="837"/>
      <c r="H20" s="107">
        <f t="shared" si="1"/>
        <v>210.75299999999999</v>
      </c>
      <c r="I20" s="110">
        <f t="shared" si="2"/>
        <v>-14.752999999999986</v>
      </c>
      <c r="J20" s="109">
        <f t="shared" si="3"/>
        <v>-7.5270408163265232E-2</v>
      </c>
      <c r="K20" s="318" t="s">
        <v>116</v>
      </c>
      <c r="L20" s="199"/>
      <c r="M20" s="199"/>
    </row>
    <row r="21" spans="1:13" s="61" customFormat="1" ht="25.5" customHeight="1" x14ac:dyDescent="0.2">
      <c r="A21" s="319">
        <v>2012</v>
      </c>
      <c r="B21" s="177">
        <v>274.39999999999998</v>
      </c>
      <c r="C21" s="178">
        <f>4.246+6.085-1.279+0.715-0.941-0.014+5+86</f>
        <v>99.811999999999998</v>
      </c>
      <c r="D21" s="179">
        <f t="shared" si="0"/>
        <v>174.58799999999997</v>
      </c>
      <c r="E21" s="177">
        <v>217.7</v>
      </c>
      <c r="F21" s="178">
        <f>4.44+9.04-1.369+2.1-0.86-1.1+6.5</f>
        <v>18.751000000000001</v>
      </c>
      <c r="G21" s="569">
        <v>200</v>
      </c>
      <c r="H21" s="168">
        <f t="shared" si="1"/>
        <v>198.94899999999998</v>
      </c>
      <c r="I21" s="362">
        <f t="shared" si="2"/>
        <v>-24.361000000000018</v>
      </c>
      <c r="J21" s="180">
        <f t="shared" si="3"/>
        <v>-0.13953421770110216</v>
      </c>
      <c r="K21" s="320" t="s">
        <v>65</v>
      </c>
      <c r="L21" s="199"/>
      <c r="M21" s="199"/>
    </row>
    <row r="22" spans="1:13" s="3" customFormat="1" ht="13.5" customHeight="1" x14ac:dyDescent="0.2">
      <c r="A22" s="229">
        <v>2013</v>
      </c>
      <c r="B22" s="184">
        <v>160.80000000000001</v>
      </c>
      <c r="C22" s="185">
        <f>0.44+3.35-2.182+0.808-0.861+0.061</f>
        <v>1.6160000000000003</v>
      </c>
      <c r="D22" s="173">
        <f t="shared" si="0"/>
        <v>159.184</v>
      </c>
      <c r="E22" s="184">
        <v>207.7</v>
      </c>
      <c r="F22" s="185">
        <v>16.7</v>
      </c>
      <c r="G22" s="570">
        <v>200</v>
      </c>
      <c r="H22" s="174">
        <f t="shared" si="1"/>
        <v>191</v>
      </c>
      <c r="I22" s="363">
        <f t="shared" si="2"/>
        <v>-31.816000000000003</v>
      </c>
      <c r="J22" s="186">
        <f t="shared" si="3"/>
        <v>-0.19986933360136699</v>
      </c>
      <c r="K22" s="321" t="s">
        <v>117</v>
      </c>
      <c r="L22" s="195"/>
      <c r="M22" s="195"/>
    </row>
    <row r="23" spans="1:13" s="61" customFormat="1" ht="25.5" customHeight="1" x14ac:dyDescent="0.2">
      <c r="A23" s="317">
        <v>2014</v>
      </c>
      <c r="B23" s="104">
        <v>128</v>
      </c>
      <c r="C23" s="59">
        <f>0.438+3.517-2.225+0.518-0.866+0.499+3.501</f>
        <v>5.3819999999999997</v>
      </c>
      <c r="D23" s="103">
        <f t="shared" si="0"/>
        <v>122.61799999999999</v>
      </c>
      <c r="E23" s="104">
        <v>191.5</v>
      </c>
      <c r="F23" s="59">
        <v>12.7</v>
      </c>
      <c r="G23" s="568">
        <v>200</v>
      </c>
      <c r="H23" s="107">
        <f t="shared" si="1"/>
        <v>178.8</v>
      </c>
      <c r="I23" s="110">
        <f t="shared" si="2"/>
        <v>-56.182000000000016</v>
      </c>
      <c r="J23" s="109">
        <f t="shared" si="3"/>
        <v>-0.45818721558009445</v>
      </c>
      <c r="K23" s="318" t="s">
        <v>118</v>
      </c>
      <c r="L23" s="198"/>
      <c r="M23" s="199"/>
    </row>
    <row r="24" spans="1:13" s="61" customFormat="1" ht="25.5" customHeight="1" x14ac:dyDescent="0.2">
      <c r="A24" s="317">
        <v>2015</v>
      </c>
      <c r="B24" s="104">
        <v>163.30000000000001</v>
      </c>
      <c r="C24" s="59">
        <f>0.002+2.845-2.115+0.463-0.88+8.409+3.053</f>
        <v>11.777000000000001</v>
      </c>
      <c r="D24" s="103">
        <f t="shared" si="0"/>
        <v>151.52300000000002</v>
      </c>
      <c r="E24" s="104">
        <v>207.7</v>
      </c>
      <c r="F24" s="59">
        <v>22.7</v>
      </c>
      <c r="G24" s="568">
        <v>200</v>
      </c>
      <c r="H24" s="107">
        <f t="shared" si="1"/>
        <v>185</v>
      </c>
      <c r="I24" s="110">
        <f t="shared" si="2"/>
        <v>-33.476999999999975</v>
      </c>
      <c r="J24" s="109">
        <f t="shared" si="3"/>
        <v>-0.22093675547606614</v>
      </c>
      <c r="K24" s="318" t="s">
        <v>70</v>
      </c>
      <c r="L24" s="198"/>
      <c r="M24" s="199"/>
    </row>
    <row r="25" spans="1:13" s="61" customFormat="1" ht="25.5" customHeight="1" x14ac:dyDescent="0.2">
      <c r="A25" s="322">
        <v>2016</v>
      </c>
      <c r="B25" s="187">
        <v>207.2</v>
      </c>
      <c r="C25" s="188">
        <f>0.4+4.7+0.27+1.6+4.5+0.8</f>
        <v>12.270000000000001</v>
      </c>
      <c r="D25" s="162">
        <f t="shared" si="0"/>
        <v>194.92999999999998</v>
      </c>
      <c r="E25" s="187">
        <v>247.2</v>
      </c>
      <c r="F25" s="188">
        <v>51</v>
      </c>
      <c r="G25" s="566">
        <v>200</v>
      </c>
      <c r="H25" s="163">
        <f t="shared" si="1"/>
        <v>196.2</v>
      </c>
      <c r="I25" s="187">
        <f t="shared" si="2"/>
        <v>-1.2700000000000102</v>
      </c>
      <c r="J25" s="189">
        <f t="shared" si="3"/>
        <v>-6.5151592879495734E-3</v>
      </c>
      <c r="K25" s="323" t="s">
        <v>71</v>
      </c>
      <c r="L25" s="198"/>
      <c r="M25" s="199"/>
    </row>
    <row r="26" spans="1:13" s="61" customFormat="1" ht="25.5" customHeight="1" x14ac:dyDescent="0.2">
      <c r="A26" s="324">
        <v>2017</v>
      </c>
      <c r="B26" s="181">
        <v>221.4</v>
      </c>
      <c r="C26" s="182">
        <v>95</v>
      </c>
      <c r="D26" s="152">
        <f t="shared" si="0"/>
        <v>126.4</v>
      </c>
      <c r="E26" s="181">
        <v>273.7</v>
      </c>
      <c r="F26" s="182">
        <v>117.1</v>
      </c>
      <c r="G26" s="567">
        <v>160</v>
      </c>
      <c r="H26" s="153">
        <f t="shared" si="1"/>
        <v>156.6</v>
      </c>
      <c r="I26" s="181">
        <f t="shared" si="2"/>
        <v>-30.199999999999989</v>
      </c>
      <c r="J26" s="183">
        <f t="shared" si="3"/>
        <v>-0.23892405063291128</v>
      </c>
      <c r="K26" s="325" t="s">
        <v>157</v>
      </c>
      <c r="L26" s="198"/>
      <c r="M26" s="199"/>
    </row>
    <row r="27" spans="1:13" s="62" customFormat="1" ht="25.5" customHeight="1" x14ac:dyDescent="0.2">
      <c r="A27" s="311">
        <v>2018</v>
      </c>
      <c r="B27" s="102">
        <v>239.7</v>
      </c>
      <c r="C27" s="64">
        <v>105.1</v>
      </c>
      <c r="D27" s="103">
        <f t="shared" si="0"/>
        <v>134.6</v>
      </c>
      <c r="E27" s="102">
        <v>292.923</v>
      </c>
      <c r="F27" s="64">
        <v>137.9</v>
      </c>
      <c r="G27" s="568">
        <v>160</v>
      </c>
      <c r="H27" s="107">
        <f t="shared" si="1"/>
        <v>155.023</v>
      </c>
      <c r="I27" s="102">
        <f t="shared" si="2"/>
        <v>-20.423000000000002</v>
      </c>
      <c r="J27" s="108">
        <f t="shared" si="3"/>
        <v>-0.15173105497771175</v>
      </c>
      <c r="K27" s="312" t="s">
        <v>158</v>
      </c>
      <c r="L27" s="196"/>
      <c r="M27" s="197"/>
    </row>
    <row r="28" spans="1:13" s="62" customFormat="1" ht="36" customHeight="1" x14ac:dyDescent="0.2">
      <c r="A28" s="311">
        <v>2019</v>
      </c>
      <c r="B28" s="102">
        <v>227.1</v>
      </c>
      <c r="C28" s="64">
        <v>106.5</v>
      </c>
      <c r="D28" s="103">
        <f t="shared" ref="D28" si="4">B28-C28</f>
        <v>120.6</v>
      </c>
      <c r="E28" s="102">
        <v>302.39999999999998</v>
      </c>
      <c r="F28" s="64">
        <v>143.19999999999999</v>
      </c>
      <c r="G28" s="568">
        <v>160</v>
      </c>
      <c r="H28" s="107">
        <f t="shared" ref="H28:H31" si="5">E28-F28</f>
        <v>159.19999999999999</v>
      </c>
      <c r="I28" s="102">
        <f t="shared" ref="I28" si="6">D28-H28</f>
        <v>-38.599999999999994</v>
      </c>
      <c r="J28" s="108">
        <f t="shared" ref="J28" si="7">I28/D28</f>
        <v>-0.32006633499170811</v>
      </c>
      <c r="K28" s="312" t="s">
        <v>159</v>
      </c>
      <c r="L28" s="196"/>
      <c r="M28" s="197"/>
    </row>
    <row r="29" spans="1:13" s="62" customFormat="1" ht="36" customHeight="1" x14ac:dyDescent="0.2">
      <c r="A29" s="307">
        <v>2020</v>
      </c>
      <c r="B29" s="160">
        <v>200.48964899999999</v>
      </c>
      <c r="C29" s="161">
        <v>77.400000000000006</v>
      </c>
      <c r="D29" s="162">
        <f t="shared" ref="D29:D30" si="8">B29-C29</f>
        <v>123.08964899999998</v>
      </c>
      <c r="E29" s="160">
        <v>290.05</v>
      </c>
      <c r="F29" s="161">
        <v>124.08199999999999</v>
      </c>
      <c r="G29" s="566">
        <v>160</v>
      </c>
      <c r="H29" s="176">
        <f t="shared" ref="H29" si="9">E29-F29</f>
        <v>165.96800000000002</v>
      </c>
      <c r="I29" s="160">
        <f>D29-H29</f>
        <v>-42.878351000000038</v>
      </c>
      <c r="J29" s="164">
        <f t="shared" ref="J29:J30" si="10">I29/D29</f>
        <v>-0.34835058307786743</v>
      </c>
      <c r="K29" s="308" t="s">
        <v>119</v>
      </c>
      <c r="L29" s="196"/>
      <c r="M29" s="197"/>
    </row>
    <row r="30" spans="1:13" s="62" customFormat="1" ht="13.5" customHeight="1" x14ac:dyDescent="0.2">
      <c r="A30" s="315">
        <v>2021</v>
      </c>
      <c r="B30" s="171">
        <v>189.397232</v>
      </c>
      <c r="C30" s="172">
        <v>51.397089000000001</v>
      </c>
      <c r="D30" s="173">
        <f t="shared" si="8"/>
        <v>138.00014300000001</v>
      </c>
      <c r="E30" s="171">
        <v>271.63299999999998</v>
      </c>
      <c r="F30" s="172">
        <v>101.66500000000001</v>
      </c>
      <c r="G30" s="570">
        <v>170</v>
      </c>
      <c r="H30" s="174">
        <f t="shared" si="5"/>
        <v>169.96799999999996</v>
      </c>
      <c r="I30" s="171">
        <f>D30-H30</f>
        <v>-31.967856999999952</v>
      </c>
      <c r="J30" s="175">
        <f t="shared" si="10"/>
        <v>-0.23165089763711297</v>
      </c>
      <c r="K30" s="409" t="s">
        <v>469</v>
      </c>
      <c r="L30" s="196"/>
      <c r="M30" s="197"/>
    </row>
    <row r="31" spans="1:13" s="62" customFormat="1" ht="13.5" customHeight="1" x14ac:dyDescent="0.2">
      <c r="A31" s="313">
        <v>2022</v>
      </c>
      <c r="B31" s="165"/>
      <c r="C31" s="166"/>
      <c r="D31" s="167"/>
      <c r="E31" s="165">
        <v>280.71300000000002</v>
      </c>
      <c r="F31" s="166">
        <v>112.741</v>
      </c>
      <c r="G31" s="620">
        <v>170</v>
      </c>
      <c r="H31" s="168">
        <f t="shared" si="5"/>
        <v>167.97200000000004</v>
      </c>
      <c r="I31" s="165"/>
      <c r="J31" s="169"/>
      <c r="K31" s="616" t="s">
        <v>161</v>
      </c>
      <c r="L31" s="196"/>
      <c r="M31" s="197"/>
    </row>
    <row r="32" spans="1:13" s="62" customFormat="1" ht="13.5" customHeight="1" x14ac:dyDescent="0.2">
      <c r="A32" s="407">
        <v>2023</v>
      </c>
      <c r="B32" s="326"/>
      <c r="C32" s="327"/>
      <c r="D32" s="328"/>
      <c r="E32" s="326">
        <v>301.072</v>
      </c>
      <c r="F32" s="327">
        <v>131.23699999999999</v>
      </c>
      <c r="G32" s="697">
        <v>170</v>
      </c>
      <c r="H32" s="163">
        <f>E32-F32</f>
        <v>169.83500000000001</v>
      </c>
      <c r="I32" s="326"/>
      <c r="J32" s="408"/>
      <c r="K32" s="617" t="s">
        <v>468</v>
      </c>
      <c r="L32" s="196"/>
      <c r="M32" s="197"/>
    </row>
    <row r="33" spans="1:13" s="58" customFormat="1" ht="4.5" customHeight="1" x14ac:dyDescent="0.2">
      <c r="K33" s="111"/>
    </row>
    <row r="34" spans="1:13" ht="15" x14ac:dyDescent="0.2">
      <c r="A34" s="39" t="s">
        <v>74</v>
      </c>
    </row>
    <row r="35" spans="1:13" ht="15" x14ac:dyDescent="0.2">
      <c r="A35" s="39" t="s">
        <v>77</v>
      </c>
    </row>
    <row r="36" spans="1:13" ht="15" x14ac:dyDescent="0.2">
      <c r="A36" s="39" t="s">
        <v>76</v>
      </c>
    </row>
    <row r="37" spans="1:13" ht="15" x14ac:dyDescent="0.2">
      <c r="A37" s="65" t="s">
        <v>389</v>
      </c>
      <c r="B37" s="8"/>
      <c r="C37" s="8"/>
      <c r="D37" s="8"/>
      <c r="E37" s="8"/>
    </row>
    <row r="38" spans="1:13" ht="4.5" customHeight="1" x14ac:dyDescent="0.2"/>
    <row r="39" spans="1:13" s="48" customFormat="1" ht="25.5" customHeight="1" x14ac:dyDescent="0.2">
      <c r="A39" s="649" t="s">
        <v>386</v>
      </c>
      <c r="B39" s="677">
        <f>AVERAGE(B6:B12)</f>
        <v>156.44878771428574</v>
      </c>
      <c r="C39" s="140">
        <f>AVERAGE(C6:C12)</f>
        <v>-0.64171428571428712</v>
      </c>
      <c r="D39" s="678">
        <f t="shared" ref="D39:I39" si="11">AVERAGE(D6:D12)</f>
        <v>157.09050199999999</v>
      </c>
      <c r="E39" s="677">
        <f t="shared" si="11"/>
        <v>169.02828571428569</v>
      </c>
      <c r="F39" s="140">
        <f t="shared" si="11"/>
        <v>-1.8844285714285713</v>
      </c>
      <c r="G39" s="678">
        <f>AVERAGE(G6:G12)</f>
        <v>190</v>
      </c>
      <c r="H39" s="678">
        <f t="shared" si="11"/>
        <v>170.91271428571432</v>
      </c>
      <c r="I39" s="677">
        <f t="shared" si="11"/>
        <v>-13.822212285714288</v>
      </c>
      <c r="J39" s="679">
        <f>AVERAGE(J6:J12)</f>
        <v>-8.6869326003801331E-2</v>
      </c>
      <c r="K39" s="680"/>
      <c r="L39" s="681"/>
      <c r="M39" s="410"/>
    </row>
    <row r="40" spans="1:13" s="48" customFormat="1" ht="25.5" customHeight="1" x14ac:dyDescent="0.2">
      <c r="A40" s="654" t="s">
        <v>462</v>
      </c>
      <c r="B40" s="82"/>
      <c r="C40" s="56"/>
      <c r="D40" s="656"/>
      <c r="E40" s="82">
        <f>AVERAGE(E13:E32)</f>
        <v>253.03719999999993</v>
      </c>
      <c r="F40" s="56">
        <f t="shared" ref="F40" si="12">AVERAGE(F13:F32)</f>
        <v>73.408799999999999</v>
      </c>
      <c r="G40" s="656">
        <f>AVERAGE(G13:G32)</f>
        <v>177.77777777777777</v>
      </c>
      <c r="H40" s="656">
        <f>AVERAGE(H13:H32)</f>
        <v>179.6284</v>
      </c>
      <c r="I40" s="82"/>
      <c r="J40" s="92"/>
      <c r="K40" s="682"/>
      <c r="L40" s="681"/>
      <c r="M40" s="410"/>
    </row>
    <row r="41" spans="1:13" s="48" customFormat="1" ht="25.5" customHeight="1" x14ac:dyDescent="0.2">
      <c r="A41" s="659" t="s">
        <v>463</v>
      </c>
      <c r="B41" s="661"/>
      <c r="C41" s="396"/>
      <c r="D41" s="662"/>
      <c r="E41" s="661">
        <f>AVERAGE(E6:E32)</f>
        <v>231.25711111111107</v>
      </c>
      <c r="F41" s="396">
        <f t="shared" ref="F41" si="13">AVERAGE(F6:F32)</f>
        <v>53.888333333333335</v>
      </c>
      <c r="G41" s="662">
        <f>AVERAGE(G6:G32)</f>
        <v>181.2</v>
      </c>
      <c r="H41" s="662">
        <f>AVERAGE(H6:H32)</f>
        <v>177.36877777777778</v>
      </c>
      <c r="I41" s="661"/>
      <c r="J41" s="400"/>
      <c r="K41" s="683"/>
      <c r="L41" s="681"/>
      <c r="M41" s="410"/>
    </row>
    <row r="42" spans="1:13" s="405" customFormat="1" ht="4.5" customHeight="1" x14ac:dyDescent="0.2">
      <c r="A42" s="684"/>
      <c r="B42" s="685"/>
      <c r="C42" s="685"/>
      <c r="D42" s="685"/>
      <c r="E42" s="685"/>
      <c r="F42" s="685"/>
      <c r="G42" s="685"/>
      <c r="H42" s="685"/>
      <c r="I42" s="685"/>
      <c r="J42" s="686"/>
      <c r="K42" s="685"/>
      <c r="L42" s="687"/>
      <c r="M42" s="406"/>
    </row>
    <row r="43" spans="1:13" s="412" customFormat="1" x14ac:dyDescent="0.2">
      <c r="A43" s="829" t="s">
        <v>94</v>
      </c>
      <c r="B43" s="835"/>
      <c r="C43" s="835"/>
      <c r="D43" s="835"/>
      <c r="E43" s="835"/>
      <c r="F43" s="835"/>
      <c r="G43" s="835"/>
      <c r="H43" s="835"/>
      <c r="I43" s="835"/>
      <c r="J43" s="835"/>
      <c r="K43" s="835"/>
      <c r="L43" s="835"/>
      <c r="M43" s="411"/>
    </row>
    <row r="44" spans="1:13" s="48" customFormat="1" ht="25.5" customHeight="1" x14ac:dyDescent="0.2">
      <c r="A44" s="649" t="s">
        <v>385</v>
      </c>
      <c r="B44" s="140">
        <f>AVERAGE(B14:B17)</f>
        <v>259.298</v>
      </c>
      <c r="C44" s="140">
        <f t="shared" ref="C44:I44" si="14">AVERAGE(C14:C17)</f>
        <v>93.402000000000001</v>
      </c>
      <c r="D44" s="140">
        <f t="shared" si="14"/>
        <v>165.89599999999999</v>
      </c>
      <c r="E44" s="677">
        <f t="shared" si="14"/>
        <v>284.52499999999998</v>
      </c>
      <c r="F44" s="140">
        <f t="shared" si="14"/>
        <v>107.625</v>
      </c>
      <c r="G44" s="678">
        <f t="shared" ref="G44" si="15">AVERAGE(G14:G17)</f>
        <v>170</v>
      </c>
      <c r="H44" s="678">
        <f t="shared" si="14"/>
        <v>176.9</v>
      </c>
      <c r="I44" s="140">
        <f t="shared" si="14"/>
        <v>-11.004000000000019</v>
      </c>
      <c r="J44" s="688">
        <f>AVERAGE(J14:J17)</f>
        <v>-6.6647163967740591E-2</v>
      </c>
      <c r="K44" s="689"/>
      <c r="L44" s="667"/>
      <c r="M44" s="113"/>
    </row>
    <row r="45" spans="1:13" s="48" customFormat="1" ht="25.5" customHeight="1" x14ac:dyDescent="0.2">
      <c r="A45" s="654" t="s">
        <v>95</v>
      </c>
      <c r="B45" s="56">
        <f>AVERAGE(B18:B21)</f>
        <v>218.1</v>
      </c>
      <c r="C45" s="56">
        <f>AVERAGE(C18:C21)</f>
        <v>27.151250000000001</v>
      </c>
      <c r="D45" s="56">
        <f t="shared" ref="D45:I45" si="16">AVERAGE(D18:D21)</f>
        <v>190.94874999999999</v>
      </c>
      <c r="E45" s="82">
        <f t="shared" si="16"/>
        <v>225.03825000000001</v>
      </c>
      <c r="F45" s="56">
        <f t="shared" si="16"/>
        <v>15.662749999999999</v>
      </c>
      <c r="G45" s="656">
        <f t="shared" ref="G45" si="17">AVERAGE(G18:G21)</f>
        <v>200</v>
      </c>
      <c r="H45" s="656">
        <f t="shared" si="16"/>
        <v>209.37549999999999</v>
      </c>
      <c r="I45" s="56">
        <f t="shared" si="16"/>
        <v>-18.426749999999998</v>
      </c>
      <c r="J45" s="657">
        <f>AVERAGE(J18:J21)</f>
        <v>-9.762956030948991E-2</v>
      </c>
      <c r="K45" s="690"/>
      <c r="L45" s="667"/>
      <c r="M45" s="113"/>
    </row>
    <row r="46" spans="1:13" s="48" customFormat="1" ht="25.5" customHeight="1" x14ac:dyDescent="0.2">
      <c r="A46" s="654" t="s">
        <v>96</v>
      </c>
      <c r="B46" s="56">
        <f>AVERAGE(B22:B25)</f>
        <v>164.82499999999999</v>
      </c>
      <c r="C46" s="56">
        <f t="shared" ref="C46:I46" si="18">AVERAGE(C22:C25)</f>
        <v>7.7612500000000004</v>
      </c>
      <c r="D46" s="56">
        <f>AVERAGE(D22:D25)</f>
        <v>157.06375</v>
      </c>
      <c r="E46" s="82">
        <f t="shared" si="18"/>
        <v>213.52499999999998</v>
      </c>
      <c r="F46" s="56">
        <f t="shared" si="18"/>
        <v>25.774999999999999</v>
      </c>
      <c r="G46" s="656">
        <f t="shared" ref="G46" si="19">AVERAGE(G22:G25)</f>
        <v>200</v>
      </c>
      <c r="H46" s="656">
        <f t="shared" si="18"/>
        <v>187.75</v>
      </c>
      <c r="I46" s="56">
        <f t="shared" si="18"/>
        <v>-30.686250000000001</v>
      </c>
      <c r="J46" s="657">
        <f>AVERAGE(J22:J25)</f>
        <v>-0.22137711598636928</v>
      </c>
      <c r="K46" s="690"/>
      <c r="L46" s="667"/>
      <c r="M46" s="113"/>
    </row>
    <row r="47" spans="1:13" s="48" customFormat="1" ht="25.5" customHeight="1" x14ac:dyDescent="0.2">
      <c r="A47" s="670" t="s">
        <v>97</v>
      </c>
      <c r="B47" s="56">
        <f>AVERAGE(B26:B29)</f>
        <v>222.17241225000001</v>
      </c>
      <c r="C47" s="56">
        <f t="shared" ref="C47:I47" si="20">AVERAGE(C26:C29)</f>
        <v>96</v>
      </c>
      <c r="D47" s="56">
        <f t="shared" si="20"/>
        <v>126.17241225000001</v>
      </c>
      <c r="E47" s="82">
        <f t="shared" si="20"/>
        <v>289.76825000000002</v>
      </c>
      <c r="F47" s="56">
        <f t="shared" si="20"/>
        <v>130.57049999999998</v>
      </c>
      <c r="G47" s="656">
        <f>AVERAGE(G26:G29)</f>
        <v>160</v>
      </c>
      <c r="H47" s="656">
        <f t="shared" si="20"/>
        <v>159.19774999999998</v>
      </c>
      <c r="I47" s="56">
        <f t="shared" si="20"/>
        <v>-33.025337750000006</v>
      </c>
      <c r="J47" s="92">
        <f>AVERAGE(J26:J29)</f>
        <v>-0.26476800592004962</v>
      </c>
      <c r="K47" s="691"/>
      <c r="L47" s="667"/>
      <c r="M47" s="113"/>
    </row>
    <row r="48" spans="1:13" s="48" customFormat="1" ht="25.5" customHeight="1" x14ac:dyDescent="0.2">
      <c r="A48" s="659" t="s">
        <v>160</v>
      </c>
      <c r="B48" s="692"/>
      <c r="C48" s="692"/>
      <c r="D48" s="692"/>
      <c r="E48" s="693">
        <f>AVERAGE(E30:E32)</f>
        <v>284.47266666666667</v>
      </c>
      <c r="F48" s="692">
        <f>AVERAGE(F30:F32)</f>
        <v>115.21433333333334</v>
      </c>
      <c r="G48" s="694">
        <f>AVERAGE(G30:G32)</f>
        <v>170</v>
      </c>
      <c r="H48" s="694">
        <f>AVERAGE(H30:H32)</f>
        <v>169.25833333333333</v>
      </c>
      <c r="I48" s="692"/>
      <c r="J48" s="695"/>
      <c r="K48" s="696"/>
      <c r="L48" s="667"/>
      <c r="M48" s="113"/>
    </row>
  </sheetData>
  <mergeCells count="5">
    <mergeCell ref="B4:D4"/>
    <mergeCell ref="I4:J4"/>
    <mergeCell ref="E4:H4"/>
    <mergeCell ref="A43:L43"/>
    <mergeCell ref="G19:G20"/>
  </mergeCells>
  <hyperlinks>
    <hyperlink ref="K31" r:id="rId1"/>
    <hyperlink ref="K30" r:id="rId2"/>
  </hyperlinks>
  <pageMargins left="0.19685039370078741" right="0.19685039370078741" top="0.39370078740157483" bottom="0.39370078740157483" header="0.31496062992125984" footer="0.19685039370078741"/>
  <pageSetup paperSize="8" scale="86" orientation="landscape" r:id="rId3"/>
  <headerFooter>
    <oddFooter>&amp;L&amp;"Arial Narrow,Standard"&amp;7DFG, 11. Oktober 2022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24"/>
  <sheetViews>
    <sheetView showGridLines="0" view="pageBreakPreview" zoomScale="145" zoomScaleNormal="150" zoomScaleSheetLayoutView="145" zoomScalePageLayoutView="200" workbookViewId="0">
      <selection sqref="A1:N1"/>
    </sheetView>
  </sheetViews>
  <sheetFormatPr baseColWidth="10" defaultColWidth="10.85546875" defaultRowHeight="15" x14ac:dyDescent="0.25"/>
  <cols>
    <col min="1" max="1" width="62" style="585" customWidth="1"/>
    <col min="2" max="6" width="9.42578125" style="586" customWidth="1"/>
    <col min="7" max="9" width="9.42578125" style="587" customWidth="1"/>
    <col min="10" max="16384" width="10.85546875" style="585"/>
  </cols>
  <sheetData>
    <row r="1" spans="1:14" ht="15.75" x14ac:dyDescent="0.25">
      <c r="A1" s="842" t="s">
        <v>473</v>
      </c>
      <c r="B1" s="843"/>
      <c r="C1" s="843"/>
      <c r="D1" s="843"/>
      <c r="E1" s="843"/>
      <c r="F1" s="843"/>
      <c r="G1" s="843"/>
      <c r="H1" s="843"/>
      <c r="I1" s="843"/>
      <c r="J1" s="707"/>
      <c r="K1" s="707"/>
      <c r="L1" s="707"/>
      <c r="M1" s="707"/>
      <c r="N1" s="707"/>
    </row>
    <row r="2" spans="1:14" ht="54" customHeight="1" x14ac:dyDescent="0.25">
      <c r="A2" s="844" t="s">
        <v>474</v>
      </c>
      <c r="B2" s="845"/>
      <c r="C2" s="845"/>
      <c r="D2" s="845"/>
      <c r="E2" s="845"/>
      <c r="F2" s="845"/>
      <c r="G2" s="845"/>
      <c r="H2" s="845"/>
      <c r="I2" s="845"/>
      <c r="J2" s="711"/>
      <c r="K2" s="711"/>
      <c r="L2" s="711"/>
      <c r="M2" s="711"/>
      <c r="N2" s="711"/>
    </row>
    <row r="3" spans="1:14" ht="4.5" customHeight="1" x14ac:dyDescent="0.25"/>
    <row r="4" spans="1:14" ht="7.5" customHeight="1" x14ac:dyDescent="0.25">
      <c r="G4" s="618"/>
      <c r="H4" s="618"/>
      <c r="I4" s="618"/>
    </row>
    <row r="5" spans="1:14" s="589" customFormat="1" ht="16.149999999999999" customHeight="1" x14ac:dyDescent="0.2">
      <c r="A5" s="588" t="s">
        <v>449</v>
      </c>
      <c r="B5" s="846" t="s">
        <v>443</v>
      </c>
      <c r="C5" s="846" t="s">
        <v>444</v>
      </c>
      <c r="D5" s="846" t="s">
        <v>445</v>
      </c>
      <c r="E5" s="846" t="s">
        <v>446</v>
      </c>
      <c r="F5" s="846" t="s">
        <v>447</v>
      </c>
      <c r="G5" s="838" t="s">
        <v>448</v>
      </c>
      <c r="H5" s="838" t="s">
        <v>470</v>
      </c>
      <c r="I5" s="840" t="s">
        <v>471</v>
      </c>
    </row>
    <row r="6" spans="1:14" s="589" customFormat="1" ht="16.7" customHeight="1" x14ac:dyDescent="0.2">
      <c r="A6" s="590" t="s">
        <v>472</v>
      </c>
      <c r="B6" s="847"/>
      <c r="C6" s="847"/>
      <c r="D6" s="847"/>
      <c r="E6" s="847"/>
      <c r="F6" s="847"/>
      <c r="G6" s="839"/>
      <c r="H6" s="839"/>
      <c r="I6" s="841"/>
    </row>
    <row r="7" spans="1:14" s="592" customFormat="1" ht="15.6" customHeight="1" x14ac:dyDescent="0.2">
      <c r="A7" s="591" t="s">
        <v>450</v>
      </c>
      <c r="B7" s="698">
        <f t="shared" ref="B7:G7" si="0">B8+B9</f>
        <v>356.21300000000002</v>
      </c>
      <c r="C7" s="698">
        <f t="shared" si="0"/>
        <v>329.419647</v>
      </c>
      <c r="D7" s="698">
        <f t="shared" si="0"/>
        <v>403.06497000000002</v>
      </c>
      <c r="E7" s="698">
        <f t="shared" si="0"/>
        <v>400.17849699999999</v>
      </c>
      <c r="F7" s="698">
        <f t="shared" si="0"/>
        <v>435.26720599999999</v>
      </c>
      <c r="G7" s="699">
        <f t="shared" si="0"/>
        <v>498.36220100000003</v>
      </c>
      <c r="H7" s="699">
        <f t="shared" ref="H7:I7" si="1">H8+H9</f>
        <v>432.61120138000001</v>
      </c>
      <c r="I7" s="702">
        <f t="shared" si="1"/>
        <v>376.43520138000002</v>
      </c>
    </row>
    <row r="8" spans="1:14" s="594" customFormat="1" ht="15.6" customHeight="1" x14ac:dyDescent="0.2">
      <c r="A8" s="595" t="s">
        <v>451</v>
      </c>
      <c r="B8" s="700">
        <v>255.001</v>
      </c>
      <c r="C8" s="700">
        <v>234.84157400000001</v>
      </c>
      <c r="D8" s="700">
        <v>228.091576</v>
      </c>
      <c r="E8" s="700">
        <v>232.25352999999998</v>
      </c>
      <c r="F8" s="700">
        <v>232.45023900000001</v>
      </c>
      <c r="G8" s="700">
        <v>233.975131</v>
      </c>
      <c r="H8" s="700">
        <v>201.00913093</v>
      </c>
      <c r="I8" s="703">
        <v>172.69113093000001</v>
      </c>
    </row>
    <row r="9" spans="1:14" s="594" customFormat="1" ht="15.6" customHeight="1" x14ac:dyDescent="0.2">
      <c r="A9" s="595" t="s">
        <v>452</v>
      </c>
      <c r="B9" s="700">
        <v>101.212</v>
      </c>
      <c r="C9" s="700">
        <v>94.578073000000003</v>
      </c>
      <c r="D9" s="700">
        <v>174.97339399999998</v>
      </c>
      <c r="E9" s="700">
        <v>167.92496699999998</v>
      </c>
      <c r="F9" s="700">
        <v>202.81696700000001</v>
      </c>
      <c r="G9" s="700">
        <v>264.38706999999999</v>
      </c>
      <c r="H9" s="700">
        <v>231.60207044999999</v>
      </c>
      <c r="I9" s="703">
        <v>203.74407045000001</v>
      </c>
    </row>
    <row r="10" spans="1:14" s="592" customFormat="1" ht="15.6" customHeight="1" x14ac:dyDescent="0.2">
      <c r="A10" s="593" t="s">
        <v>453</v>
      </c>
      <c r="B10" s="698">
        <v>344.92211000000009</v>
      </c>
      <c r="C10" s="698">
        <v>453.47823799999958</v>
      </c>
      <c r="D10" s="698">
        <v>418.2509</v>
      </c>
      <c r="E10" s="698">
        <v>496.08026799999971</v>
      </c>
      <c r="F10" s="698">
        <v>552.22959799999956</v>
      </c>
      <c r="G10" s="698">
        <v>627.83573399999932</v>
      </c>
      <c r="H10" s="698">
        <v>618.87373385000012</v>
      </c>
      <c r="I10" s="704">
        <f>608.46873385-0.8</f>
        <v>607.66873385000008</v>
      </c>
    </row>
    <row r="11" spans="1:14" s="592" customFormat="1" ht="15.6" customHeight="1" x14ac:dyDescent="0.2">
      <c r="A11" s="596" t="s">
        <v>454</v>
      </c>
      <c r="B11" s="701">
        <f t="shared" ref="B11:G11" si="2">B7+B10</f>
        <v>701.13511000000017</v>
      </c>
      <c r="C11" s="701">
        <f t="shared" si="2"/>
        <v>782.89788499999963</v>
      </c>
      <c r="D11" s="701">
        <f t="shared" si="2"/>
        <v>821.31587000000002</v>
      </c>
      <c r="E11" s="701">
        <f t="shared" si="2"/>
        <v>896.2587649999997</v>
      </c>
      <c r="F11" s="701">
        <f t="shared" si="2"/>
        <v>987.49680399999954</v>
      </c>
      <c r="G11" s="701">
        <f t="shared" si="2"/>
        <v>1126.1979349999992</v>
      </c>
      <c r="H11" s="701">
        <f t="shared" ref="H11:I11" si="3">H7+H10</f>
        <v>1051.4849352300002</v>
      </c>
      <c r="I11" s="705">
        <f t="shared" si="3"/>
        <v>984.10393523000016</v>
      </c>
    </row>
    <row r="12" spans="1:14" x14ac:dyDescent="0.25">
      <c r="B12" s="597"/>
      <c r="C12" s="597"/>
      <c r="D12" s="597"/>
      <c r="E12" s="597"/>
      <c r="F12" s="597"/>
      <c r="I12" s="619"/>
    </row>
    <row r="13" spans="1:14" x14ac:dyDescent="0.25">
      <c r="B13" s="597"/>
      <c r="C13" s="597"/>
      <c r="D13" s="597"/>
      <c r="E13" s="597"/>
      <c r="F13" s="597"/>
      <c r="H13" s="619"/>
      <c r="I13" s="619"/>
    </row>
    <row r="14" spans="1:14" x14ac:dyDescent="0.25">
      <c r="B14" s="597"/>
      <c r="C14" s="597"/>
      <c r="D14" s="597"/>
      <c r="E14" s="597"/>
      <c r="F14" s="597"/>
    </row>
    <row r="15" spans="1:14" x14ac:dyDescent="0.25">
      <c r="B15" s="597"/>
      <c r="C15" s="597"/>
      <c r="D15" s="597"/>
      <c r="E15" s="597"/>
      <c r="F15" s="597"/>
    </row>
    <row r="16" spans="1:14" x14ac:dyDescent="0.25">
      <c r="B16" s="597"/>
      <c r="C16" s="597"/>
      <c r="D16" s="597"/>
      <c r="E16" s="597"/>
      <c r="F16" s="597"/>
    </row>
    <row r="17" spans="2:6" x14ac:dyDescent="0.25">
      <c r="B17" s="597"/>
      <c r="C17" s="597"/>
      <c r="D17" s="597"/>
      <c r="E17" s="597"/>
      <c r="F17" s="597"/>
    </row>
    <row r="18" spans="2:6" x14ac:dyDescent="0.25">
      <c r="B18" s="597"/>
      <c r="C18" s="597"/>
      <c r="D18" s="597"/>
      <c r="E18" s="597"/>
      <c r="F18" s="597"/>
    </row>
    <row r="19" spans="2:6" x14ac:dyDescent="0.25">
      <c r="B19" s="597"/>
      <c r="C19" s="597"/>
      <c r="D19" s="597"/>
      <c r="E19" s="597"/>
      <c r="F19" s="597"/>
    </row>
    <row r="20" spans="2:6" x14ac:dyDescent="0.25">
      <c r="B20" s="597"/>
      <c r="C20" s="597"/>
      <c r="D20" s="597"/>
      <c r="E20" s="597"/>
      <c r="F20" s="597"/>
    </row>
    <row r="21" spans="2:6" x14ac:dyDescent="0.25">
      <c r="B21" s="597"/>
      <c r="C21" s="597"/>
      <c r="D21" s="597"/>
      <c r="E21" s="597"/>
      <c r="F21" s="597"/>
    </row>
    <row r="22" spans="2:6" x14ac:dyDescent="0.25">
      <c r="B22" s="597"/>
      <c r="C22" s="597"/>
      <c r="D22" s="597"/>
      <c r="E22" s="597"/>
      <c r="F22" s="597"/>
    </row>
    <row r="23" spans="2:6" x14ac:dyDescent="0.25">
      <c r="B23" s="597"/>
      <c r="C23" s="597"/>
      <c r="D23" s="597"/>
      <c r="E23" s="597"/>
      <c r="F23" s="597"/>
    </row>
    <row r="24" spans="2:6" x14ac:dyDescent="0.25">
      <c r="B24" s="597"/>
      <c r="C24" s="597"/>
      <c r="D24" s="597"/>
      <c r="E24" s="597"/>
      <c r="F24" s="597"/>
    </row>
  </sheetData>
  <sheetProtection formatColumns="0" formatRows="0" insertColumns="0" insertRows="0" deleteColumns="0" deleteRows="0"/>
  <protectedRanges>
    <protectedRange sqref="B6:I11 A5:A6" name="Bereich1"/>
    <protectedRange sqref="B5:F5" name="Bereich1_1"/>
    <protectedRange sqref="G5:I5" name="Bereich1_2"/>
  </protectedRanges>
  <mergeCells count="10">
    <mergeCell ref="H5:H6"/>
    <mergeCell ref="I5:I6"/>
    <mergeCell ref="G5:G6"/>
    <mergeCell ref="A1:N1"/>
    <mergeCell ref="A2:N2"/>
    <mergeCell ref="B5:B6"/>
    <mergeCell ref="C5:C6"/>
    <mergeCell ref="D5:D6"/>
    <mergeCell ref="E5:E6"/>
    <mergeCell ref="F5:F6"/>
  </mergeCells>
  <pageMargins left="0.19685039370078741" right="0.19685039370078741" top="0.39370078740157483" bottom="0.59055118110236227" header="0.31496062992125984" footer="0.31496062992125984"/>
  <pageSetup paperSize="8" fitToHeight="0" orientation="landscape" r:id="rId1"/>
  <headerFooter>
    <oddFooter>&amp;L&amp;"Arial Narrow,Standard"&amp;7DFG, 7. Dezember 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C97EF870D0FC44CB571D40EA547E9CB" ma:contentTypeVersion="3" ma:contentTypeDescription="Ein neues Dokument erstellen." ma:contentTypeScope="" ma:versionID="ba97c5a2cfd7dab43d6fc14bd94c160f">
  <xsd:schema xmlns:xsd="http://www.w3.org/2001/XMLSchema" xmlns:xs="http://www.w3.org/2001/XMLSchema" xmlns:p="http://schemas.microsoft.com/office/2006/metadata/properties" xmlns:ns1="http://schemas.microsoft.com/sharepoint/v3" targetNamespace="http://schemas.microsoft.com/office/2006/metadata/properties" ma:root="true" ma:fieldsID="ecbd84472719e3ddd2f7516b7c680bf3" ns1:_="">
    <xsd:import namespace="http://schemas.microsoft.com/sharepoint/v3"/>
    <xsd:element name="properties">
      <xsd:complexType>
        <xsd:sequence>
          <xsd:element name="documentManagement">
            <xsd:complexType>
              <xsd:all>
                <xsd:element ref="ns1:CustomerID" minOccurs="0"/>
                <xsd:element ref="ns1: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ustomerID" ma:index="8" nillable="true" ma:displayName="Benutzerdefinierte ID" ma:internalName="CustomerID">
      <xsd:simpleType>
        <xsd:restriction base="dms:Text"/>
      </xsd:simpleType>
    </xsd:element>
    <xsd:element name="Language" ma:index="10" nillable="true" ma:displayName="Sprache" ma:default="DE" ma:format="Dropdown" ma:internalName="Language">
      <xsd:simpleType>
        <xsd:restriction base="dms:Choice">
          <xsd:enumeration value="DE"/>
          <xsd:enumeration value="RM"/>
          <xsd:enumeration value="I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http://schemas.microsoft.com/sharepoint/v3">1005</Customer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2C4EDC-5366-4C9B-A72C-EAC52F30DEB5}"/>
</file>

<file path=customXml/itemProps2.xml><?xml version="1.0" encoding="utf-8"?>
<ds:datastoreItem xmlns:ds="http://schemas.openxmlformats.org/officeDocument/2006/customXml" ds:itemID="{A783691A-6F0B-498F-9892-4C3F83332BB1}"/>
</file>

<file path=customXml/itemProps3.xml><?xml version="1.0" encoding="utf-8"?>
<ds:datastoreItem xmlns:ds="http://schemas.openxmlformats.org/officeDocument/2006/customXml" ds:itemID="{533DE010-7829-46A6-A310-3C953439AF7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8</vt:i4>
      </vt:variant>
    </vt:vector>
  </HeadingPairs>
  <TitlesOfParts>
    <vt:vector size="17" baseType="lpstr">
      <vt:lpstr>Schlüsselgrössen</vt:lpstr>
      <vt:lpstr>Aufwandgruppen</vt:lpstr>
      <vt:lpstr>Ertragsgruppen</vt:lpstr>
      <vt:lpstr>SF Strassen</vt:lpstr>
      <vt:lpstr>HRM2-Kennzahlen ab 2013</vt:lpstr>
      <vt:lpstr>Gesamtlohnsumme</vt:lpstr>
      <vt:lpstr>Ergebnisse Erfolgsrechnung</vt:lpstr>
      <vt:lpstr>Ergebnisse Investitionsrechnung</vt:lpstr>
      <vt:lpstr>frei verfügbares Eigenkapital</vt:lpstr>
      <vt:lpstr>Aufwandgruppen!Druckbereich</vt:lpstr>
      <vt:lpstr>'Ergebnisse Erfolgsrechnung'!Druckbereich</vt:lpstr>
      <vt:lpstr>'Ergebnisse Investitionsrechnung'!Druckbereich</vt:lpstr>
      <vt:lpstr>'frei verfügbares Eigenkapital'!Druckbereich</vt:lpstr>
      <vt:lpstr>Gesamtlohnsumme!Druckbereich</vt:lpstr>
      <vt:lpstr>'HRM2-Kennzahlen ab 2013'!Druckbereich</vt:lpstr>
      <vt:lpstr>Schlüsselgrössen!Druckbereich</vt:lpstr>
      <vt:lpstr>'SF Strassen'!Druckbereich</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Schlüsselgrössen Finanzhaushalt seit 1997 bis Budget 2023</dc:title>
  <dc:creator>felsan</dc:creator>
  <cp:lastModifiedBy>Nigg Martin</cp:lastModifiedBy>
  <cp:lastPrinted>2022-12-19T16:41:03Z</cp:lastPrinted>
  <dcterms:created xsi:type="dcterms:W3CDTF">2010-09-16T06:23:44Z</dcterms:created>
  <dcterms:modified xsi:type="dcterms:W3CDTF">2022-12-20T16:16:32Z</dcterms:modified>
  <cp:category>2023</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0x010100AC97EF870D0FC44CB571D40EA547E9CB</vt:lpwstr>
  </property>
  <property fmtid="{D5CDD505-2E9C-101B-9397-08002B2CF9AE}" pid="3" name="Jet Reports Function Literals">
    <vt:lpwstr>\	;	;	{	}	[@[{0}]]	1031	2055</vt:lpwstr>
  </property>
</Properties>
</file>